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tabRatio="753" activeTab="0"/>
  </bookViews>
  <sheets>
    <sheet name="свод" sheetId="1" r:id="rId1"/>
    <sheet name="инфа" sheetId="2" r:id="rId2"/>
    <sheet name="данные" sheetId="3" state="hidden" r:id="rId3"/>
  </sheets>
  <definedNames>
    <definedName name="_xlnm._FilterDatabase" localSheetId="2" hidden="1">'данные'!$C$8:$K$80</definedName>
    <definedName name="список">'свод'!$P$11:$P$18</definedName>
  </definedNames>
  <calcPr fullCalcOnLoad="1"/>
</workbook>
</file>

<file path=xl/sharedStrings.xml><?xml version="1.0" encoding="utf-8"?>
<sst xmlns="http://schemas.openxmlformats.org/spreadsheetml/2006/main" count="98" uniqueCount="53">
  <si>
    <t>порядок руны</t>
  </si>
  <si>
    <t>кол-во крошки</t>
  </si>
  <si>
    <t>кол-во пыли</t>
  </si>
  <si>
    <t>сдвиг</t>
  </si>
  <si>
    <t>кристаллы</t>
  </si>
  <si>
    <t>голд</t>
  </si>
  <si>
    <t>1 пылинка в голде</t>
  </si>
  <si>
    <t>1 крошка в кристаллах</t>
  </si>
  <si>
    <t>1 кристалл в голде</t>
  </si>
  <si>
    <t>экономия в голде</t>
  </si>
  <si>
    <t>порядок собираемой руны</t>
  </si>
  <si>
    <t>порядок рун, из которых собирается</t>
  </si>
  <si>
    <t>уровень руны</t>
  </si>
  <si>
    <t>атака</t>
  </si>
  <si>
    <t>защита</t>
  </si>
  <si>
    <t>прибавка атака</t>
  </si>
  <si>
    <t>прибавка защита</t>
  </si>
  <si>
    <t>кошелек на 100 крошки в кристаллах</t>
  </si>
  <si>
    <t>оптимальный сдвиг при спайке</t>
  </si>
  <si>
    <t>максимальная экономия в голде</t>
  </si>
  <si>
    <t>проверка</t>
  </si>
  <si>
    <t>экономия</t>
  </si>
  <si>
    <t>итого крошки на руну этого уровня</t>
  </si>
  <si>
    <t>итого пыли на руну этого уровня</t>
  </si>
  <si>
    <t>редактируемые ячейки</t>
  </si>
  <si>
    <t>все в голде</t>
  </si>
  <si>
    <t>все в кристаллах</t>
  </si>
  <si>
    <t>желаемый сдвиг при спайке</t>
  </si>
  <si>
    <t>итого голды на пыль</t>
  </si>
  <si>
    <t>итого кристаллов на крошку</t>
  </si>
  <si>
    <t>вещь</t>
  </si>
  <si>
    <t>шапка</t>
  </si>
  <si>
    <t>плечи</t>
  </si>
  <si>
    <t>пузо</t>
  </si>
  <si>
    <t>штаны</t>
  </si>
  <si>
    <t>оружие 1</t>
  </si>
  <si>
    <t>оружие 2</t>
  </si>
  <si>
    <t>% увеличения урона</t>
  </si>
  <si>
    <t>% увеличения защиты</t>
  </si>
  <si>
    <t>итого</t>
  </si>
  <si>
    <t>кол-во крошки на 1 спайку (без учета пред рун)</t>
  </si>
  <si>
    <t>рыночная стоимость 1 крошки в голде</t>
  </si>
  <si>
    <t>экономия в голде исходя из покупки крошки за кристаллы</t>
  </si>
  <si>
    <t>экономия в голде исходя из покупки крошки за голд</t>
  </si>
  <si>
    <t>экономия 2</t>
  </si>
  <si>
    <t>Расчетная таблица, показывает, сколько крошки и пыли нужно для сборки руны при определенном сдвиге</t>
  </si>
  <si>
    <t>кол-во крошки на 1 спайку из двух рун предыдущего уровня</t>
  </si>
  <si>
    <t>количество крошки</t>
  </si>
  <si>
    <t>количество пыли</t>
  </si>
  <si>
    <t>Таблица показывает необходимое количество крошки и пыли на спайку руны заданного уровня из двух рун предыдущего уровня (без учета стоимости сборки предыдущих рун)</t>
  </si>
  <si>
    <t>огромный кошель с пылью в голде (1000 ед)</t>
  </si>
  <si>
    <r>
      <t xml:space="preserve">Расчет ведется исходя из того, что </t>
    </r>
    <r>
      <rPr>
        <b/>
        <sz val="10"/>
        <rFont val="Arial Cyr"/>
        <family val="0"/>
      </rPr>
      <t>крошка покупается за кристаллы</t>
    </r>
    <r>
      <rPr>
        <sz val="10"/>
        <rFont val="Arial Cyr"/>
        <family val="0"/>
      </rPr>
      <t>, т е таблица показывает оптимальное число сдвига в сторону пыли, при котором выгода от понижения количества крошки перекрывает увеличение голда от покупки большего количества пыли</t>
    </r>
  </si>
  <si>
    <r>
      <t xml:space="preserve">Расчет ведется исходя из того, что </t>
    </r>
    <r>
      <rPr>
        <b/>
        <sz val="10"/>
        <rFont val="Arial Cyr"/>
        <family val="0"/>
      </rPr>
      <t xml:space="preserve">крошка покупается за голд </t>
    </r>
    <r>
      <rPr>
        <sz val="10"/>
        <rFont val="Arial Cyr"/>
        <family val="0"/>
      </rPr>
      <t>(равносильно более высокому курсу кристаллов)</t>
    </r>
    <r>
      <rPr>
        <sz val="10"/>
        <rFont val="Arial Cyr"/>
        <family val="0"/>
      </rPr>
      <t>, т е таблица показывает оптимальное число сдвига в сторону пыли, при котором выгода от понижения количества крошки перекрывает увеличение голда от покупки большего количества пыли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</si>
</sst>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3" fontId="0" fillId="0" borderId="0" xfId="18" applyAlignment="1">
      <alignment/>
    </xf>
    <xf numFmtId="165" fontId="0" fillId="0" borderId="0" xfId="18" applyNumberFormat="1" applyAlignment="1">
      <alignment/>
    </xf>
    <xf numFmtId="165" fontId="0" fillId="0" borderId="0" xfId="18" applyNumberFormat="1" applyAlignment="1">
      <alignment wrapText="1"/>
    </xf>
    <xf numFmtId="43" fontId="0" fillId="0" borderId="0" xfId="18" applyNumberFormat="1" applyAlignment="1">
      <alignment/>
    </xf>
    <xf numFmtId="165" fontId="0" fillId="0" borderId="0" xfId="18" applyNumberFormat="1" applyAlignment="1">
      <alignment horizontal="center"/>
    </xf>
    <xf numFmtId="165" fontId="0" fillId="0" borderId="1" xfId="18" applyNumberFormat="1" applyBorder="1" applyAlignment="1">
      <alignment/>
    </xf>
    <xf numFmtId="165" fontId="2" fillId="0" borderId="1" xfId="18" applyNumberFormat="1" applyFont="1" applyBorder="1" applyAlignment="1">
      <alignment/>
    </xf>
    <xf numFmtId="165" fontId="2" fillId="0" borderId="1" xfId="18" applyNumberFormat="1" applyFont="1" applyBorder="1" applyAlignment="1">
      <alignment horizontal="center" wrapText="1"/>
    </xf>
    <xf numFmtId="165" fontId="2" fillId="0" borderId="1" xfId="18" applyNumberFormat="1" applyFont="1" applyBorder="1" applyAlignment="1">
      <alignment wrapText="1"/>
    </xf>
    <xf numFmtId="43" fontId="0" fillId="0" borderId="1" xfId="18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0" xfId="18" applyNumberForma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1" xfId="18" applyNumberFormat="1" applyBorder="1" applyAlignment="1">
      <alignment horizontal="center"/>
    </xf>
    <xf numFmtId="43" fontId="0" fillId="0" borderId="1" xfId="18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5" fontId="2" fillId="0" borderId="1" xfId="18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2" fillId="2" borderId="1" xfId="18" applyNumberFormat="1" applyFont="1" applyFill="1" applyBorder="1" applyAlignment="1">
      <alignment wrapText="1"/>
    </xf>
    <xf numFmtId="165" fontId="0" fillId="2" borderId="1" xfId="18" applyNumberFormat="1" applyFill="1" applyBorder="1" applyAlignment="1">
      <alignment/>
    </xf>
    <xf numFmtId="43" fontId="0" fillId="0" borderId="0" xfId="0" applyNumberForma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5" fontId="2" fillId="0" borderId="2" xfId="18" applyNumberFormat="1" applyFont="1" applyFill="1" applyBorder="1" applyAlignment="1">
      <alignment wrapText="1"/>
    </xf>
    <xf numFmtId="165" fontId="2" fillId="2" borderId="2" xfId="18" applyNumberFormat="1" applyFont="1" applyFill="1" applyBorder="1" applyAlignment="1">
      <alignment wrapText="1"/>
    </xf>
    <xf numFmtId="165" fontId="0" fillId="0" borderId="1" xfId="18" applyNumberFormat="1" applyFill="1" applyBorder="1" applyAlignment="1">
      <alignment/>
    </xf>
    <xf numFmtId="165" fontId="0" fillId="0" borderId="0" xfId="18" applyNumberFormat="1" applyFill="1" applyAlignment="1">
      <alignment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5" fontId="0" fillId="3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65" fontId="2" fillId="0" borderId="0" xfId="18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5" fontId="2" fillId="0" borderId="3" xfId="18" applyNumberFormat="1" applyFont="1" applyBorder="1" applyAlignment="1">
      <alignment/>
    </xf>
    <xf numFmtId="165" fontId="2" fillId="0" borderId="4" xfId="18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0" fillId="0" borderId="6" xfId="18" applyNumberFormat="1" applyBorder="1" applyAlignment="1">
      <alignment/>
    </xf>
    <xf numFmtId="43" fontId="0" fillId="0" borderId="7" xfId="18" applyNumberFormat="1" applyBorder="1" applyAlignment="1">
      <alignment/>
    </xf>
    <xf numFmtId="0" fontId="0" fillId="0" borderId="8" xfId="0" applyBorder="1" applyAlignment="1">
      <alignment/>
    </xf>
    <xf numFmtId="165" fontId="2" fillId="0" borderId="9" xfId="18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3" fontId="2" fillId="0" borderId="8" xfId="18" applyNumberFormat="1" applyFont="1" applyFill="1" applyBorder="1" applyAlignment="1">
      <alignment/>
    </xf>
    <xf numFmtId="43" fontId="2" fillId="0" borderId="10" xfId="18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2" fillId="4" borderId="11" xfId="0" applyFont="1" applyFill="1" applyBorder="1" applyAlignment="1" applyProtection="1">
      <alignment horizontal="center"/>
      <protection locked="0"/>
    </xf>
    <xf numFmtId="43" fontId="2" fillId="0" borderId="1" xfId="18" applyFont="1" applyBorder="1" applyAlignment="1">
      <alignment wrapText="1"/>
    </xf>
    <xf numFmtId="43" fontId="0" fillId="0" borderId="1" xfId="18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8" applyNumberFormat="1" applyBorder="1" applyAlignment="1">
      <alignment horizontal="center"/>
    </xf>
    <xf numFmtId="165" fontId="0" fillId="0" borderId="0" xfId="18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0" fontId="2" fillId="0" borderId="3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165" fontId="2" fillId="0" borderId="1" xfId="18" applyNumberFormat="1" applyFont="1" applyBorder="1" applyAlignment="1">
      <alignment horizontal="center"/>
    </xf>
    <xf numFmtId="165" fontId="2" fillId="0" borderId="1" xfId="18" applyNumberFormat="1" applyFont="1" applyBorder="1" applyAlignment="1">
      <alignment horizontal="center" wrapText="1"/>
    </xf>
    <xf numFmtId="0" fontId="2" fillId="4" borderId="2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3">
      <selection activeCell="C5" sqref="C5"/>
    </sheetView>
  </sheetViews>
  <sheetFormatPr defaultColWidth="9.00390625" defaultRowHeight="12.75" outlineLevelRow="1"/>
  <cols>
    <col min="1" max="1" width="27.875" style="0" bestFit="1" customWidth="1"/>
    <col min="3" max="3" width="14.375" style="0" customWidth="1"/>
    <col min="4" max="4" width="14.875" style="0" customWidth="1"/>
    <col min="5" max="5" width="15.25390625" style="0" customWidth="1"/>
    <col min="6" max="6" width="14.375" style="4" customWidth="1"/>
    <col min="7" max="7" width="14.25390625" style="4" customWidth="1"/>
    <col min="8" max="8" width="11.875" style="4" bestFit="1" customWidth="1"/>
    <col min="9" max="9" width="12.00390625" style="0" customWidth="1"/>
    <col min="10" max="10" width="10.125" style="0" customWidth="1"/>
    <col min="11" max="11" width="12.00390625" style="0" customWidth="1"/>
    <col min="12" max="12" width="12.875" style="0" bestFit="1" customWidth="1"/>
  </cols>
  <sheetData>
    <row r="1" spans="1:2" ht="13.5" thickBot="1">
      <c r="A1" s="1" t="s">
        <v>24</v>
      </c>
      <c r="B1" s="56"/>
    </row>
    <row r="3" ht="13.5" thickBot="1"/>
    <row r="4" spans="1:2" ht="26.25" thickBot="1">
      <c r="A4" s="2" t="s">
        <v>17</v>
      </c>
      <c r="B4" s="57">
        <v>300</v>
      </c>
    </row>
    <row r="5" spans="1:2" ht="13.5" thickBot="1">
      <c r="A5" s="2" t="s">
        <v>8</v>
      </c>
      <c r="B5" s="57">
        <v>4</v>
      </c>
    </row>
    <row r="6" spans="1:2" ht="26.25" thickBot="1">
      <c r="A6" s="2" t="s">
        <v>50</v>
      </c>
      <c r="B6" s="57">
        <v>9</v>
      </c>
    </row>
    <row r="7" ht="12.75">
      <c r="A7" s="2"/>
    </row>
    <row r="8" ht="13.5" thickBot="1"/>
    <row r="9" spans="1:12" ht="63.75">
      <c r="A9" s="77" t="s">
        <v>51</v>
      </c>
      <c r="B9" s="66" t="s">
        <v>12</v>
      </c>
      <c r="C9" s="15" t="s">
        <v>19</v>
      </c>
      <c r="D9" s="64" t="s">
        <v>18</v>
      </c>
      <c r="E9" s="25" t="s">
        <v>46</v>
      </c>
      <c r="F9" s="26" t="s">
        <v>2</v>
      </c>
      <c r="G9" s="28" t="s">
        <v>22</v>
      </c>
      <c r="H9" s="26" t="s">
        <v>23</v>
      </c>
      <c r="I9" s="25" t="s">
        <v>29</v>
      </c>
      <c r="J9" s="38" t="s">
        <v>28</v>
      </c>
      <c r="K9" s="25" t="s">
        <v>26</v>
      </c>
      <c r="L9" s="25" t="s">
        <v>25</v>
      </c>
    </row>
    <row r="10" spans="1:12" ht="12.75">
      <c r="A10" s="78"/>
      <c r="B10" s="67">
        <v>2</v>
      </c>
      <c r="C10" s="17">
        <f>MAX(данные!L9:L16)</f>
        <v>22.5</v>
      </c>
      <c r="D10" s="65">
        <f>VLOOKUP($C$10,данные!$C$9:$J$80,4,0)</f>
        <v>4</v>
      </c>
      <c r="E10" s="19">
        <f>VLOOKUP($C10,данные!$C$9:$J$16,5,0)</f>
        <v>7</v>
      </c>
      <c r="F10" s="22">
        <f>VLOOKUP($C10,данные!$C$9:$J$16,6,0)</f>
        <v>1600</v>
      </c>
      <c r="G10" s="29">
        <f>E10</f>
        <v>7</v>
      </c>
      <c r="H10" s="35">
        <f>F10</f>
        <v>1600</v>
      </c>
      <c r="I10" s="40">
        <f>G10*данные!$B$5</f>
        <v>21</v>
      </c>
      <c r="J10" s="39">
        <f>H10*данные!$B$4</f>
        <v>14.399999999999999</v>
      </c>
      <c r="K10" s="17">
        <f>I10+J10/$B$5</f>
        <v>24.6</v>
      </c>
      <c r="L10" s="17">
        <f>I10*$B$5+J10</f>
        <v>98.4</v>
      </c>
    </row>
    <row r="11" spans="1:16" ht="12.75">
      <c r="A11" s="78"/>
      <c r="B11" s="67">
        <v>3</v>
      </c>
      <c r="C11" s="17">
        <f>MAX(данные!L17:L24)</f>
        <v>39.75</v>
      </c>
      <c r="D11" s="65">
        <f>VLOOKUP(C11,данные!$C$9:$J$80,4,0)</f>
        <v>4</v>
      </c>
      <c r="E11" s="19">
        <f>VLOOKUP($C11,данные!$C$17:$J$24,5,0)</f>
        <v>10</v>
      </c>
      <c r="F11" s="22">
        <f>VLOOKUP($C11,данные!$C$17:$J$24,6,0)</f>
        <v>2400</v>
      </c>
      <c r="G11" s="29">
        <f>G10*2+E11</f>
        <v>24</v>
      </c>
      <c r="H11" s="35">
        <f>H10*2+F11</f>
        <v>5600</v>
      </c>
      <c r="I11" s="40">
        <f>G11*данные!$B$5</f>
        <v>72</v>
      </c>
      <c r="J11" s="39">
        <f>H11*данные!$B$4</f>
        <v>50.4</v>
      </c>
      <c r="K11" s="17">
        <f aca="true" t="shared" si="0" ref="K11:K18">I11+J11/$B$5</f>
        <v>84.6</v>
      </c>
      <c r="L11" s="17">
        <f aca="true" t="shared" si="1" ref="L11:L18">I11*$B$5+J11</f>
        <v>338.4</v>
      </c>
      <c r="P11" s="4">
        <v>2</v>
      </c>
    </row>
    <row r="12" spans="1:16" ht="12.75">
      <c r="A12" s="78"/>
      <c r="B12" s="67">
        <v>4</v>
      </c>
      <c r="C12" s="17">
        <f>MAX(данные!L25:L32)</f>
        <v>53.625</v>
      </c>
      <c r="D12" s="65">
        <f>VLOOKUP(C12,данные!$C$9:$J$80,4,0)</f>
        <v>4</v>
      </c>
      <c r="E12" s="19">
        <f>VLOOKUP($C12,данные!$C$25:$J$32,5,0)</f>
        <v>15</v>
      </c>
      <c r="F12" s="22">
        <f>VLOOKUP($C12,данные!$C$25:$J$32,6,0)</f>
        <v>3600</v>
      </c>
      <c r="G12" s="29">
        <f aca="true" t="shared" si="2" ref="G12:G18">G11*2+E12</f>
        <v>63</v>
      </c>
      <c r="H12" s="35">
        <f aca="true" t="shared" si="3" ref="H12:H18">H11*2+F12</f>
        <v>14800</v>
      </c>
      <c r="I12" s="40">
        <f>G12*данные!$B$5</f>
        <v>189</v>
      </c>
      <c r="J12" s="39">
        <f>H12*данные!$B$4</f>
        <v>133.2</v>
      </c>
      <c r="K12" s="17">
        <f t="shared" si="0"/>
        <v>222.3</v>
      </c>
      <c r="L12" s="17">
        <f t="shared" si="1"/>
        <v>889.2</v>
      </c>
      <c r="P12" s="4">
        <v>3</v>
      </c>
    </row>
    <row r="13" spans="1:16" ht="12.75">
      <c r="A13" s="78"/>
      <c r="B13" s="67">
        <v>5</v>
      </c>
      <c r="C13" s="17">
        <f>MAX(данные!L33:L40)</f>
        <v>86.37</v>
      </c>
      <c r="D13" s="65">
        <f>VLOOKUP(C13,данные!$C$9:$J$80,4,0)</f>
        <v>4</v>
      </c>
      <c r="E13" s="19">
        <f>VLOOKUP($C13,данные!$C$33:$J$40,5,0)</f>
        <v>23</v>
      </c>
      <c r="F13" s="22">
        <f>VLOOKUP($C13,данные!$C$33:$J$40,6,0)</f>
        <v>5408</v>
      </c>
      <c r="G13" s="29">
        <f t="shared" si="2"/>
        <v>149</v>
      </c>
      <c r="H13" s="35">
        <f t="shared" si="3"/>
        <v>35008</v>
      </c>
      <c r="I13" s="40">
        <f>G13*данные!$B$5</f>
        <v>447</v>
      </c>
      <c r="J13" s="39">
        <f>H13*данные!$B$4</f>
        <v>315.072</v>
      </c>
      <c r="K13" s="17">
        <f t="shared" si="0"/>
        <v>525.768</v>
      </c>
      <c r="L13" s="17">
        <f t="shared" si="1"/>
        <v>2103.072</v>
      </c>
      <c r="P13" s="4">
        <v>4</v>
      </c>
    </row>
    <row r="14" spans="1:16" ht="12.75">
      <c r="A14" s="78"/>
      <c r="B14" s="67">
        <v>6</v>
      </c>
      <c r="C14" s="17">
        <f>MAX(данные!L41:L48)</f>
        <v>124.122</v>
      </c>
      <c r="D14" s="65">
        <f>VLOOKUP(C14,данные!$C$9:$J$80,4,0)</f>
        <v>3</v>
      </c>
      <c r="E14" s="19">
        <f>VLOOKUP($C14,данные!$C$41:$J$48,5,0)</f>
        <v>38</v>
      </c>
      <c r="F14" s="22">
        <f>VLOOKUP($C14,данные!$C$41:$J$48,6,0)</f>
        <v>4048</v>
      </c>
      <c r="G14" s="29">
        <f t="shared" si="2"/>
        <v>336</v>
      </c>
      <c r="H14" s="35">
        <f t="shared" si="3"/>
        <v>74064</v>
      </c>
      <c r="I14" s="40">
        <f>G14*данные!$B$5</f>
        <v>1008</v>
      </c>
      <c r="J14" s="39">
        <f>H14*данные!$B$4</f>
        <v>666.5759999999999</v>
      </c>
      <c r="K14" s="17">
        <f t="shared" si="0"/>
        <v>1174.644</v>
      </c>
      <c r="L14" s="17">
        <f t="shared" si="1"/>
        <v>4698.576</v>
      </c>
      <c r="P14" s="4">
        <v>5</v>
      </c>
    </row>
    <row r="15" spans="1:16" ht="12.75">
      <c r="A15" s="78"/>
      <c r="B15" s="67">
        <v>7</v>
      </c>
      <c r="C15" s="17">
        <f>MAX(данные!L49:L56)</f>
        <v>185.53500000000003</v>
      </c>
      <c r="D15" s="65">
        <f>VLOOKUP(C15,данные!$C$9:$J$80,4,0)</f>
        <v>4</v>
      </c>
      <c r="E15" s="19">
        <f>VLOOKUP($C15,данные!$C$49:$J$56,5,0)</f>
        <v>52</v>
      </c>
      <c r="F15" s="22">
        <f>VLOOKUP($C15,данные!$C$49:$J$56,6,0)</f>
        <v>12144</v>
      </c>
      <c r="G15" s="29">
        <f t="shared" si="2"/>
        <v>724</v>
      </c>
      <c r="H15" s="35">
        <f t="shared" si="3"/>
        <v>160272</v>
      </c>
      <c r="I15" s="40">
        <f>G15*данные!$B$5</f>
        <v>2172</v>
      </c>
      <c r="J15" s="39">
        <f>H15*данные!$B$4</f>
        <v>1442.4479999999999</v>
      </c>
      <c r="K15" s="17">
        <f t="shared" si="0"/>
        <v>2532.612</v>
      </c>
      <c r="L15" s="17">
        <f t="shared" si="1"/>
        <v>10130.448</v>
      </c>
      <c r="P15" s="4">
        <v>6</v>
      </c>
    </row>
    <row r="16" spans="1:16" ht="12.75">
      <c r="A16" s="78"/>
      <c r="B16" s="67">
        <v>8</v>
      </c>
      <c r="C16" s="17">
        <f>MAX(данные!L57:L64)</f>
        <v>278.235</v>
      </c>
      <c r="D16" s="65">
        <f>VLOOKUP(C16,данные!$C$9:$J$80,4,0)</f>
        <v>4</v>
      </c>
      <c r="E16" s="19">
        <f>VLOOKUP($C16,данные!$C$57:$J$64,5,0)</f>
        <v>78</v>
      </c>
      <c r="F16" s="22">
        <f>VLOOKUP($C16,данные!$C$57:$J$64,6,0)</f>
        <v>18224</v>
      </c>
      <c r="G16" s="29">
        <f t="shared" si="2"/>
        <v>1526</v>
      </c>
      <c r="H16" s="35">
        <f t="shared" si="3"/>
        <v>338768</v>
      </c>
      <c r="I16" s="40">
        <f>G16*данные!$B$5</f>
        <v>4578</v>
      </c>
      <c r="J16" s="39">
        <f>H16*данные!$B$4</f>
        <v>3048.912</v>
      </c>
      <c r="K16" s="17">
        <f t="shared" si="0"/>
        <v>5340.228</v>
      </c>
      <c r="L16" s="17">
        <f t="shared" si="1"/>
        <v>21360.912</v>
      </c>
      <c r="P16" s="4">
        <v>7</v>
      </c>
    </row>
    <row r="17" spans="1:16" ht="12.75">
      <c r="A17" s="78"/>
      <c r="B17" s="67">
        <v>9</v>
      </c>
      <c r="C17" s="17">
        <f>MAX(данные!L65:L72)</f>
        <v>417.285</v>
      </c>
      <c r="D17" s="65">
        <f>VLOOKUP(C17,данные!$C$9:$J$80,4,0)</f>
        <v>4</v>
      </c>
      <c r="E17" s="19">
        <f>VLOOKUP($C17,данные!$C$65:$J$72,5,0)</f>
        <v>117</v>
      </c>
      <c r="F17" s="22">
        <f>VLOOKUP($C17,данные!$C$65:$J$72,6,0)</f>
        <v>27344</v>
      </c>
      <c r="G17" s="29">
        <f t="shared" si="2"/>
        <v>3169</v>
      </c>
      <c r="H17" s="35">
        <f t="shared" si="3"/>
        <v>704880</v>
      </c>
      <c r="I17" s="40">
        <f>G17*данные!$B$5</f>
        <v>9507</v>
      </c>
      <c r="J17" s="39">
        <f>H17*данные!$B$4</f>
        <v>6343.919999999999</v>
      </c>
      <c r="K17" s="17">
        <f t="shared" si="0"/>
        <v>11092.98</v>
      </c>
      <c r="L17" s="17">
        <f t="shared" si="1"/>
        <v>44371.92</v>
      </c>
      <c r="P17" s="4">
        <v>8</v>
      </c>
    </row>
    <row r="18" spans="1:16" ht="13.5" thickBot="1">
      <c r="A18" s="79"/>
      <c r="B18" s="67">
        <v>10</v>
      </c>
      <c r="C18" s="17">
        <f>MAX(данные!L73:L80)</f>
        <v>625.9950000000001</v>
      </c>
      <c r="D18" s="65">
        <f>VLOOKUP(C18,данные!$C$9:$J$80,4,0)</f>
        <v>4</v>
      </c>
      <c r="E18" s="19">
        <f>VLOOKUP($C18,данные!$C$73:$J$80,5,0)</f>
        <v>175</v>
      </c>
      <c r="F18" s="22">
        <f>VLOOKUP($C18,данные!$C$73:$J$80,6,0)</f>
        <v>41008</v>
      </c>
      <c r="G18" s="29">
        <f t="shared" si="2"/>
        <v>6513</v>
      </c>
      <c r="H18" s="35">
        <f t="shared" si="3"/>
        <v>1450768</v>
      </c>
      <c r="I18" s="40">
        <f>G18*данные!$B$5</f>
        <v>19539</v>
      </c>
      <c r="J18" s="39">
        <f>H18*данные!$B$4</f>
        <v>13056.911999999998</v>
      </c>
      <c r="K18" s="17">
        <f t="shared" si="0"/>
        <v>22803.228</v>
      </c>
      <c r="L18" s="17">
        <f t="shared" si="1"/>
        <v>91212.912</v>
      </c>
      <c r="P18" s="4">
        <v>9</v>
      </c>
    </row>
    <row r="19" spans="2:16" ht="12.75">
      <c r="B19" s="44"/>
      <c r="C19" s="30"/>
      <c r="D19" s="61"/>
      <c r="E19" s="60"/>
      <c r="F19" s="60"/>
      <c r="G19" s="60"/>
      <c r="H19" s="60"/>
      <c r="I19" s="60"/>
      <c r="J19" s="60"/>
      <c r="K19" s="30"/>
      <c r="L19" s="30"/>
      <c r="P19" s="4">
        <v>10</v>
      </c>
    </row>
    <row r="20" spans="2:12" ht="12.75">
      <c r="B20" s="44"/>
      <c r="C20" s="30"/>
      <c r="D20" s="61"/>
      <c r="E20" s="60"/>
      <c r="F20" s="60"/>
      <c r="G20" s="60"/>
      <c r="H20" s="60"/>
      <c r="I20" s="60"/>
      <c r="J20" s="60"/>
      <c r="K20" s="30"/>
      <c r="L20" s="30"/>
    </row>
    <row r="21" spans="2:12" ht="13.5" thickBot="1">
      <c r="B21" s="44"/>
      <c r="C21" s="30"/>
      <c r="D21" s="61"/>
      <c r="E21" s="60"/>
      <c r="F21" s="60"/>
      <c r="G21" s="60"/>
      <c r="H21" s="60"/>
      <c r="I21" s="60"/>
      <c r="J21" s="60"/>
      <c r="K21" s="30"/>
      <c r="L21" s="30"/>
    </row>
    <row r="22" spans="1:12" ht="64.5" thickBot="1">
      <c r="A22" s="77" t="s">
        <v>45</v>
      </c>
      <c r="B22" s="66" t="s">
        <v>12</v>
      </c>
      <c r="C22" s="31" t="s">
        <v>9</v>
      </c>
      <c r="D22" s="82" t="s">
        <v>27</v>
      </c>
      <c r="E22" s="25" t="s">
        <v>46</v>
      </c>
      <c r="F22" s="33" t="s">
        <v>2</v>
      </c>
      <c r="G22" s="34" t="s">
        <v>22</v>
      </c>
      <c r="H22" s="33" t="s">
        <v>23</v>
      </c>
      <c r="I22" s="32" t="s">
        <v>29</v>
      </c>
      <c r="J22" s="37" t="s">
        <v>28</v>
      </c>
      <c r="K22" s="32" t="s">
        <v>26</v>
      </c>
      <c r="L22" s="32" t="s">
        <v>25</v>
      </c>
    </row>
    <row r="23" spans="1:12" ht="13.5" thickBot="1">
      <c r="A23" s="78"/>
      <c r="B23" s="67">
        <v>2</v>
      </c>
      <c r="C23" s="23">
        <f>VLOOKUP($D23,данные!$F$9:$L$16,7,0)</f>
        <v>0</v>
      </c>
      <c r="D23" s="57">
        <v>0</v>
      </c>
      <c r="E23" s="19">
        <f>VLOOKUP($D23,данные!$F$9:$J$16,2,0)</f>
        <v>10</v>
      </c>
      <c r="F23" s="22">
        <f>VLOOKUP($D23,данные!$F$9:$J$16,3,0)</f>
        <v>100</v>
      </c>
      <c r="G23" s="29">
        <f>E23</f>
        <v>10</v>
      </c>
      <c r="H23" s="35">
        <f>F23</f>
        <v>100</v>
      </c>
      <c r="I23" s="40">
        <f>G23*данные!$B$5</f>
        <v>30</v>
      </c>
      <c r="J23" s="39">
        <f>H23*данные!$B$4</f>
        <v>0.8999999999999999</v>
      </c>
      <c r="K23" s="17">
        <f>I23+J23/$B$5</f>
        <v>30.225</v>
      </c>
      <c r="L23" s="17">
        <f>I23*$B$5+J23</f>
        <v>120.9</v>
      </c>
    </row>
    <row r="24" spans="1:12" ht="13.5" thickBot="1">
      <c r="A24" s="78"/>
      <c r="B24" s="67">
        <v>3</v>
      </c>
      <c r="C24" s="23">
        <f>VLOOKUP($D24,данные!$F$17:$L$24,7,0)</f>
        <v>0</v>
      </c>
      <c r="D24" s="57">
        <v>0</v>
      </c>
      <c r="E24" s="19">
        <f>VLOOKUP($D24,данные!$F$17:$J$24,2,0)</f>
        <v>15</v>
      </c>
      <c r="F24" s="22">
        <f>VLOOKUP($D24,данные!$F$17:$J$24,3,0)</f>
        <v>150</v>
      </c>
      <c r="G24" s="29">
        <f>G23*2+E24</f>
        <v>35</v>
      </c>
      <c r="H24" s="35">
        <f>H23*2+F24</f>
        <v>350</v>
      </c>
      <c r="I24" s="40">
        <f>G24*данные!$B$5</f>
        <v>105</v>
      </c>
      <c r="J24" s="39">
        <f>H24*данные!$B$4</f>
        <v>3.15</v>
      </c>
      <c r="K24" s="17">
        <f aca="true" t="shared" si="4" ref="K24:K31">I24+J24/$B$5</f>
        <v>105.7875</v>
      </c>
      <c r="L24" s="17">
        <f aca="true" t="shared" si="5" ref="L24:L31">I24*$B$5+J24</f>
        <v>423.15</v>
      </c>
    </row>
    <row r="25" spans="1:12" ht="13.5" thickBot="1">
      <c r="A25" s="78"/>
      <c r="B25" s="67">
        <v>4</v>
      </c>
      <c r="C25" s="23">
        <f>VLOOKUP($D25,данные!$F$25:$L$32,7,0)</f>
        <v>0</v>
      </c>
      <c r="D25" s="57">
        <v>0</v>
      </c>
      <c r="E25" s="19">
        <f>VLOOKUP($D25,данные!$F$25:$J$32,2,0)</f>
        <v>22</v>
      </c>
      <c r="F25" s="22">
        <f>VLOOKUP($D25,данные!$F$25:$J$32,3,0)</f>
        <v>225</v>
      </c>
      <c r="G25" s="29">
        <f aca="true" t="shared" si="6" ref="G25:G31">G24*2+E25</f>
        <v>92</v>
      </c>
      <c r="H25" s="35">
        <f aca="true" t="shared" si="7" ref="H25:H31">H24*2+F25</f>
        <v>925</v>
      </c>
      <c r="I25" s="40">
        <f>G25*данные!$B$5</f>
        <v>276</v>
      </c>
      <c r="J25" s="39">
        <f>H25*данные!$B$4</f>
        <v>8.325</v>
      </c>
      <c r="K25" s="17">
        <f t="shared" si="4"/>
        <v>278.08125</v>
      </c>
      <c r="L25" s="17">
        <f t="shared" si="5"/>
        <v>1112.325</v>
      </c>
    </row>
    <row r="26" spans="1:12" ht="13.5" thickBot="1">
      <c r="A26" s="78"/>
      <c r="B26" s="67">
        <v>5</v>
      </c>
      <c r="C26" s="23">
        <f>VLOOKUP($D26,данные!$F$33:$L$40,7,0)</f>
        <v>0</v>
      </c>
      <c r="D26" s="57">
        <v>0</v>
      </c>
      <c r="E26" s="19">
        <f>VLOOKUP($D26,данные!$F$33:$J$40,2,0)</f>
        <v>34</v>
      </c>
      <c r="F26" s="22">
        <f>VLOOKUP($D26,данные!$F$33:$J$40,3,0)</f>
        <v>338</v>
      </c>
      <c r="G26" s="29">
        <f t="shared" si="6"/>
        <v>218</v>
      </c>
      <c r="H26" s="35">
        <f t="shared" si="7"/>
        <v>2188</v>
      </c>
      <c r="I26" s="40">
        <f>G26*данные!$B$5</f>
        <v>654</v>
      </c>
      <c r="J26" s="39">
        <f>H26*данные!$B$4</f>
        <v>19.692</v>
      </c>
      <c r="K26" s="17">
        <f t="shared" si="4"/>
        <v>658.923</v>
      </c>
      <c r="L26" s="17">
        <f t="shared" si="5"/>
        <v>2635.692</v>
      </c>
    </row>
    <row r="27" spans="1:12" ht="13.5" thickBot="1">
      <c r="A27" s="78"/>
      <c r="B27" s="67">
        <v>6</v>
      </c>
      <c r="C27" s="23">
        <f>VLOOKUP($D27,данные!$F$41:$L$48,7,0)</f>
        <v>0</v>
      </c>
      <c r="D27" s="57">
        <v>0</v>
      </c>
      <c r="E27" s="19">
        <f>VLOOKUP($D27,данные!$F$41:$J$48,2,0)</f>
        <v>51</v>
      </c>
      <c r="F27" s="22">
        <f>VLOOKUP($D27,данные!$F$41:$J$48,3,0)</f>
        <v>506</v>
      </c>
      <c r="G27" s="29">
        <f t="shared" si="6"/>
        <v>487</v>
      </c>
      <c r="H27" s="35">
        <f t="shared" si="7"/>
        <v>4882</v>
      </c>
      <c r="I27" s="40">
        <f>G27*данные!$B$5</f>
        <v>1461</v>
      </c>
      <c r="J27" s="39">
        <f>H27*данные!$B$4</f>
        <v>43.937999999999995</v>
      </c>
      <c r="K27" s="17">
        <f t="shared" si="4"/>
        <v>1471.9845</v>
      </c>
      <c r="L27" s="17">
        <f t="shared" si="5"/>
        <v>5887.938</v>
      </c>
    </row>
    <row r="28" spans="1:12" ht="13.5" thickBot="1">
      <c r="A28" s="78"/>
      <c r="B28" s="67">
        <v>7</v>
      </c>
      <c r="C28" s="23">
        <f>VLOOKUP($D28,данные!$F$49:$L$56,7,0)</f>
        <v>0</v>
      </c>
      <c r="D28" s="57">
        <v>0</v>
      </c>
      <c r="E28" s="19">
        <f>VLOOKUP($D28,данные!$F$49:$J$56,2,0)</f>
        <v>76</v>
      </c>
      <c r="F28" s="22">
        <f>VLOOKUP($D28,данные!$F$49:$J$56,3,0)</f>
        <v>759</v>
      </c>
      <c r="G28" s="29">
        <f t="shared" si="6"/>
        <v>1050</v>
      </c>
      <c r="H28" s="35">
        <f t="shared" si="7"/>
        <v>10523</v>
      </c>
      <c r="I28" s="40">
        <f>G28*данные!$B$5</f>
        <v>3150</v>
      </c>
      <c r="J28" s="39">
        <f>H28*данные!$B$4</f>
        <v>94.707</v>
      </c>
      <c r="K28" s="17">
        <f t="shared" si="4"/>
        <v>3173.67675</v>
      </c>
      <c r="L28" s="17">
        <f t="shared" si="5"/>
        <v>12694.707</v>
      </c>
    </row>
    <row r="29" spans="1:12" ht="13.5" thickBot="1">
      <c r="A29" s="78"/>
      <c r="B29" s="67">
        <v>8</v>
      </c>
      <c r="C29" s="23">
        <f>VLOOKUP($D29,данные!$F$57:$L$64,7,0)</f>
        <v>0</v>
      </c>
      <c r="D29" s="57">
        <v>0</v>
      </c>
      <c r="E29" s="19">
        <f>VLOOKUP($D29,данные!$F$57:$J$64,2,0)</f>
        <v>114</v>
      </c>
      <c r="F29" s="22">
        <f>VLOOKUP($D29,данные!$F$57:$J$64,3,0)</f>
        <v>1139</v>
      </c>
      <c r="G29" s="29">
        <f t="shared" si="6"/>
        <v>2214</v>
      </c>
      <c r="H29" s="35">
        <f t="shared" si="7"/>
        <v>22185</v>
      </c>
      <c r="I29" s="40">
        <f>G29*данные!$B$5</f>
        <v>6642</v>
      </c>
      <c r="J29" s="39">
        <f>H29*данные!$B$4</f>
        <v>199.665</v>
      </c>
      <c r="K29" s="17">
        <f t="shared" si="4"/>
        <v>6691.91625</v>
      </c>
      <c r="L29" s="17">
        <f t="shared" si="5"/>
        <v>26767.665</v>
      </c>
    </row>
    <row r="30" spans="1:12" ht="13.5" thickBot="1">
      <c r="A30" s="78"/>
      <c r="B30" s="67">
        <v>9</v>
      </c>
      <c r="C30" s="23">
        <f>VLOOKUP($D30,данные!$F$65:$L$72,7,0)</f>
        <v>0</v>
      </c>
      <c r="D30" s="57">
        <v>0</v>
      </c>
      <c r="E30" s="19">
        <f>VLOOKUP($D30,данные!$F$65:$J$72,2,0)</f>
        <v>171</v>
      </c>
      <c r="F30" s="22">
        <f>VLOOKUP($D30,данные!$F$65:$J$72,3,0)</f>
        <v>1709</v>
      </c>
      <c r="G30" s="29">
        <f t="shared" si="6"/>
        <v>4599</v>
      </c>
      <c r="H30" s="35">
        <f t="shared" si="7"/>
        <v>46079</v>
      </c>
      <c r="I30" s="40">
        <f>G30*данные!$B$5</f>
        <v>13797</v>
      </c>
      <c r="J30" s="39">
        <f>H30*данные!$B$4</f>
        <v>414.71099999999996</v>
      </c>
      <c r="K30" s="17">
        <f t="shared" si="4"/>
        <v>13900.67775</v>
      </c>
      <c r="L30" s="17">
        <f t="shared" si="5"/>
        <v>55602.711</v>
      </c>
    </row>
    <row r="31" spans="1:12" ht="13.5" thickBot="1">
      <c r="A31" s="79"/>
      <c r="B31" s="67">
        <v>10</v>
      </c>
      <c r="C31" s="23">
        <f>VLOOKUP($D31,данные!$F$73:$L$80,7,0)</f>
        <v>0</v>
      </c>
      <c r="D31" s="57">
        <v>0</v>
      </c>
      <c r="E31" s="19">
        <f>VLOOKUP($D31,данные!$F$73:$J$80,2,0)</f>
        <v>256</v>
      </c>
      <c r="F31" s="22">
        <f>VLOOKUP($D31,данные!$F$73:$J$80,3,0)</f>
        <v>2563</v>
      </c>
      <c r="G31" s="29">
        <f t="shared" si="6"/>
        <v>9454</v>
      </c>
      <c r="H31" s="35">
        <f t="shared" si="7"/>
        <v>94721</v>
      </c>
      <c r="I31" s="40">
        <f>G31*данные!$B$5</f>
        <v>28362</v>
      </c>
      <c r="J31" s="39">
        <f>H31*данные!$B$4</f>
        <v>852.4889999999999</v>
      </c>
      <c r="K31" s="17">
        <f t="shared" si="4"/>
        <v>28575.12225</v>
      </c>
      <c r="L31" s="17">
        <f t="shared" si="5"/>
        <v>114300.489</v>
      </c>
    </row>
    <row r="32" spans="2:12" ht="12.75">
      <c r="B32" s="44"/>
      <c r="C32" s="30"/>
      <c r="D32" s="61"/>
      <c r="E32" s="60"/>
      <c r="F32" s="60"/>
      <c r="G32" s="60"/>
      <c r="H32" s="60"/>
      <c r="I32" s="60"/>
      <c r="J32" s="60"/>
      <c r="K32" s="30"/>
      <c r="L32" s="30"/>
    </row>
    <row r="33" spans="2:12" ht="12.75">
      <c r="B33" s="44"/>
      <c r="C33" s="30"/>
      <c r="D33" s="61"/>
      <c r="E33" s="60"/>
      <c r="F33" s="60"/>
      <c r="G33" s="60"/>
      <c r="H33" s="60"/>
      <c r="I33" s="60"/>
      <c r="J33" s="60"/>
      <c r="K33" s="30"/>
      <c r="L33" s="30"/>
    </row>
    <row r="34" spans="2:12" ht="12.75" hidden="1" outlineLevel="1">
      <c r="B34" s="44"/>
      <c r="C34" s="30"/>
      <c r="D34" s="61"/>
      <c r="E34" s="60"/>
      <c r="F34" s="60"/>
      <c r="G34" s="60"/>
      <c r="H34" s="60"/>
      <c r="I34" s="60"/>
      <c r="J34" s="60"/>
      <c r="K34" s="30"/>
      <c r="L34" s="30"/>
    </row>
    <row r="35" spans="2:12" ht="13.5" hidden="1" outlineLevel="1" thickBot="1">
      <c r="B35" s="44"/>
      <c r="C35" s="30"/>
      <c r="D35" s="61"/>
      <c r="E35" s="60"/>
      <c r="F35" s="60"/>
      <c r="G35" s="60"/>
      <c r="H35" s="60"/>
      <c r="I35" s="60"/>
      <c r="J35" s="60"/>
      <c r="K35" s="30"/>
      <c r="L35" s="30"/>
    </row>
    <row r="36" spans="1:10" ht="26.25" hidden="1" outlineLevel="1" thickBot="1">
      <c r="A36" s="2" t="s">
        <v>41</v>
      </c>
      <c r="B36" s="57">
        <v>18</v>
      </c>
      <c r="F36" s="60"/>
      <c r="G36" s="60"/>
      <c r="H36" s="60"/>
      <c r="I36" s="60"/>
      <c r="J36" s="60"/>
    </row>
    <row r="37" spans="7:10" ht="13.5" hidden="1" outlineLevel="1" thickBot="1">
      <c r="G37" s="42"/>
      <c r="H37" s="36"/>
      <c r="I37" s="41"/>
      <c r="J37" s="43"/>
    </row>
    <row r="38" spans="1:12" ht="51" customHeight="1" hidden="1" outlineLevel="1">
      <c r="A38" s="77" t="s">
        <v>52</v>
      </c>
      <c r="B38" s="66" t="s">
        <v>12</v>
      </c>
      <c r="C38" s="15" t="s">
        <v>19</v>
      </c>
      <c r="D38" s="64" t="s">
        <v>18</v>
      </c>
      <c r="E38" s="25" t="s">
        <v>40</v>
      </c>
      <c r="F38" s="26" t="s">
        <v>2</v>
      </c>
      <c r="G38" s="28" t="s">
        <v>22</v>
      </c>
      <c r="H38" s="26" t="s">
        <v>23</v>
      </c>
      <c r="I38" s="25" t="s">
        <v>29</v>
      </c>
      <c r="J38" s="38" t="s">
        <v>28</v>
      </c>
      <c r="K38" s="25" t="s">
        <v>26</v>
      </c>
      <c r="L38" s="25" t="s">
        <v>25</v>
      </c>
    </row>
    <row r="39" spans="1:12" ht="12.75" hidden="1" outlineLevel="1">
      <c r="A39" s="78"/>
      <c r="B39" s="67">
        <v>2</v>
      </c>
      <c r="C39" s="17">
        <f>MAX(данные!M9:M16)</f>
        <v>44.1</v>
      </c>
      <c r="D39" s="65">
        <f>VLOOKUP(C39,данные!$D$9:$J$80,3,0)</f>
        <v>5</v>
      </c>
      <c r="E39" s="19">
        <f>VLOOKUP($C39,данные!$D$9:$J$16,4,0)</f>
        <v>6</v>
      </c>
      <c r="F39" s="22">
        <f>VLOOKUP($C39,данные!$D$9:$J$16,5,0)</f>
        <v>3200</v>
      </c>
      <c r="G39" s="29">
        <f>E39</f>
        <v>6</v>
      </c>
      <c r="H39" s="35">
        <f>F39</f>
        <v>3200</v>
      </c>
      <c r="I39" s="40">
        <f>G39*данные!$B$5</f>
        <v>18</v>
      </c>
      <c r="J39" s="39">
        <f>H39*данные!$B$4</f>
        <v>28.799999999999997</v>
      </c>
      <c r="K39" s="17">
        <f>I39+J39/$B$5</f>
        <v>25.2</v>
      </c>
      <c r="L39" s="17">
        <f>I39*$B$5+J39</f>
        <v>100.8</v>
      </c>
    </row>
    <row r="40" spans="1:12" ht="12.75" hidden="1" outlineLevel="1">
      <c r="A40" s="78"/>
      <c r="B40" s="67">
        <v>3</v>
      </c>
      <c r="C40" s="17">
        <f>MAX(данные!M17:M24)</f>
        <v>69.75</v>
      </c>
      <c r="D40" s="65">
        <f>VLOOKUP(C40,данные!$D$9:$J$80,3,0)</f>
        <v>4</v>
      </c>
      <c r="E40" s="19">
        <f>VLOOKUP($C40,данные!$D$17:$J$24,4,0)</f>
        <v>10</v>
      </c>
      <c r="F40" s="22">
        <f>VLOOKUP($C40,данные!$D$17:$J$24,5,0)</f>
        <v>2400</v>
      </c>
      <c r="G40" s="29">
        <f>G39*2+E40</f>
        <v>22</v>
      </c>
      <c r="H40" s="35">
        <f>H39*2+F40</f>
        <v>8800</v>
      </c>
      <c r="I40" s="40">
        <f>G40*данные!$B$5</f>
        <v>66</v>
      </c>
      <c r="J40" s="39">
        <f>H40*данные!$B$4</f>
        <v>79.19999999999999</v>
      </c>
      <c r="K40" s="17">
        <f aca="true" t="shared" si="8" ref="K40:K47">I40+J40/$B$5</f>
        <v>85.8</v>
      </c>
      <c r="L40" s="17">
        <f aca="true" t="shared" si="9" ref="L40:L47">I40*$B$5+J40</f>
        <v>343.2</v>
      </c>
    </row>
    <row r="41" spans="1:12" ht="12.75" hidden="1" outlineLevel="1">
      <c r="A41" s="78"/>
      <c r="B41" s="67">
        <v>4</v>
      </c>
      <c r="C41" s="17">
        <f>MAX(данные!M25:M32)</f>
        <v>95.625</v>
      </c>
      <c r="D41" s="65">
        <f>VLOOKUP(C41,данные!$D$9:$J$80,3,0)</f>
        <v>4</v>
      </c>
      <c r="E41" s="19">
        <f>VLOOKUP($C41,данные!$D$25:$J$32,4,0)</f>
        <v>15</v>
      </c>
      <c r="F41" s="22">
        <f>VLOOKUP($C41,данные!$D$25:$J$32,5,0)</f>
        <v>3600</v>
      </c>
      <c r="G41" s="29">
        <f aca="true" t="shared" si="10" ref="G41:G47">G40*2+E41</f>
        <v>59</v>
      </c>
      <c r="H41" s="35">
        <f aca="true" t="shared" si="11" ref="H41:H47">H40*2+F41</f>
        <v>21200</v>
      </c>
      <c r="I41" s="40">
        <f>G41*данные!$B$5</f>
        <v>177</v>
      </c>
      <c r="J41" s="39">
        <f>H41*данные!$B$4</f>
        <v>190.79999999999998</v>
      </c>
      <c r="K41" s="17">
        <f t="shared" si="8"/>
        <v>224.7</v>
      </c>
      <c r="L41" s="17">
        <f t="shared" si="9"/>
        <v>898.8</v>
      </c>
    </row>
    <row r="42" spans="1:12" ht="12.75" hidden="1" outlineLevel="1">
      <c r="A42" s="78"/>
      <c r="B42" s="67">
        <v>5</v>
      </c>
      <c r="C42" s="17">
        <f>MAX(данные!M33:M40)</f>
        <v>152.37</v>
      </c>
      <c r="D42" s="65">
        <f>VLOOKUP(C42,данные!$D$9:$J$80,3,0)</f>
        <v>4</v>
      </c>
      <c r="E42" s="19">
        <f>VLOOKUP($C42,данные!$D$33:$J$40,4,0)</f>
        <v>23</v>
      </c>
      <c r="F42" s="22">
        <f>VLOOKUP($C42,данные!$D$33:$J$40,5,0)</f>
        <v>5408</v>
      </c>
      <c r="G42" s="29">
        <f t="shared" si="10"/>
        <v>141</v>
      </c>
      <c r="H42" s="35">
        <f t="shared" si="11"/>
        <v>47808</v>
      </c>
      <c r="I42" s="40">
        <f>G42*данные!$B$5</f>
        <v>423</v>
      </c>
      <c r="J42" s="39">
        <f>H42*данные!$B$4</f>
        <v>430.272</v>
      </c>
      <c r="K42" s="17">
        <f t="shared" si="8"/>
        <v>530.568</v>
      </c>
      <c r="L42" s="17">
        <f t="shared" si="9"/>
        <v>2122.272</v>
      </c>
    </row>
    <row r="43" spans="1:12" ht="12.75" hidden="1" outlineLevel="1">
      <c r="A43" s="78"/>
      <c r="B43" s="67">
        <v>6</v>
      </c>
      <c r="C43" s="17">
        <f>MAX(данные!M41:M48)</f>
        <v>219.69</v>
      </c>
      <c r="D43" s="65">
        <f>VLOOKUP(C43,данные!$D$9:$J$80,3,0)</f>
        <v>4</v>
      </c>
      <c r="E43" s="19">
        <f>VLOOKUP($C43,данные!$D$41:$J$48,4,0)</f>
        <v>35</v>
      </c>
      <c r="F43" s="22">
        <f>VLOOKUP($C43,данные!$D$41:$J$48,5,0)</f>
        <v>8096</v>
      </c>
      <c r="G43" s="29">
        <f t="shared" si="10"/>
        <v>317</v>
      </c>
      <c r="H43" s="35">
        <f t="shared" si="11"/>
        <v>103712</v>
      </c>
      <c r="I43" s="40">
        <f>G43*данные!$B$5</f>
        <v>951</v>
      </c>
      <c r="J43" s="39">
        <f>H43*данные!$B$4</f>
        <v>933.4079999999999</v>
      </c>
      <c r="K43" s="17">
        <f t="shared" si="8"/>
        <v>1184.3519999999999</v>
      </c>
      <c r="L43" s="17">
        <f t="shared" si="9"/>
        <v>4737.407999999999</v>
      </c>
    </row>
    <row r="44" spans="1:12" ht="12.75" hidden="1" outlineLevel="1">
      <c r="A44" s="78"/>
      <c r="B44" s="67">
        <v>7</v>
      </c>
      <c r="C44" s="17">
        <f>MAX(данные!M49:M56)</f>
        <v>329.535</v>
      </c>
      <c r="D44" s="65">
        <f>VLOOKUP(C44,данные!$D$9:$J$80,3,0)</f>
        <v>4</v>
      </c>
      <c r="E44" s="19">
        <f>VLOOKUP($C44,данные!$D$49:$J$56,4,0)</f>
        <v>52</v>
      </c>
      <c r="F44" s="22">
        <f>VLOOKUP($C44,данные!$D$49:$J$56,5,0)</f>
        <v>12144</v>
      </c>
      <c r="G44" s="29">
        <f t="shared" si="10"/>
        <v>686</v>
      </c>
      <c r="H44" s="35">
        <f t="shared" si="11"/>
        <v>219568</v>
      </c>
      <c r="I44" s="40">
        <f>G44*данные!$B$5</f>
        <v>2058</v>
      </c>
      <c r="J44" s="39">
        <f>H44*данные!$B$4</f>
        <v>1976.1119999999999</v>
      </c>
      <c r="K44" s="17">
        <f t="shared" si="8"/>
        <v>2552.028</v>
      </c>
      <c r="L44" s="17">
        <f t="shared" si="9"/>
        <v>10208.112</v>
      </c>
    </row>
    <row r="45" spans="1:12" ht="12.75" hidden="1" outlineLevel="1">
      <c r="A45" s="78"/>
      <c r="B45" s="67">
        <v>8</v>
      </c>
      <c r="C45" s="17">
        <f>MAX(данные!M57:M64)</f>
        <v>494.235</v>
      </c>
      <c r="D45" s="65">
        <f>VLOOKUP(C45,данные!$D$9:$J$80,3,0)</f>
        <v>4</v>
      </c>
      <c r="E45" s="19">
        <f>VLOOKUP($C45,данные!$D$57:$J$64,4,0)</f>
        <v>78</v>
      </c>
      <c r="F45" s="22">
        <f>VLOOKUP($C45,данные!$D$57:$J$64,5,0)</f>
        <v>18224</v>
      </c>
      <c r="G45" s="29">
        <f t="shared" si="10"/>
        <v>1450</v>
      </c>
      <c r="H45" s="35">
        <f t="shared" si="11"/>
        <v>457360</v>
      </c>
      <c r="I45" s="40">
        <f>G45*данные!$B$5</f>
        <v>4350</v>
      </c>
      <c r="J45" s="39">
        <f>H45*данные!$B$4</f>
        <v>4116.24</v>
      </c>
      <c r="K45" s="17">
        <f t="shared" si="8"/>
        <v>5379.0599999999995</v>
      </c>
      <c r="L45" s="17">
        <f t="shared" si="9"/>
        <v>21516.239999999998</v>
      </c>
    </row>
    <row r="46" spans="1:12" ht="12.75" hidden="1" outlineLevel="1">
      <c r="A46" s="78"/>
      <c r="B46" s="67">
        <v>9</v>
      </c>
      <c r="C46" s="17">
        <f>MAX(данные!M65:M72)</f>
        <v>741.2850000000001</v>
      </c>
      <c r="D46" s="65">
        <f>VLOOKUP(C46,данные!$D$9:$J$80,3,0)</f>
        <v>4</v>
      </c>
      <c r="E46" s="19">
        <f>VLOOKUP($C46,данные!$D$65:$J$72,4,0)</f>
        <v>117</v>
      </c>
      <c r="F46" s="22">
        <f>VLOOKUP($C46,данные!$D$65:$J$72,5,0)</f>
        <v>27344</v>
      </c>
      <c r="G46" s="29">
        <f t="shared" si="10"/>
        <v>3017</v>
      </c>
      <c r="H46" s="35">
        <f t="shared" si="11"/>
        <v>942064</v>
      </c>
      <c r="I46" s="40">
        <f>G46*данные!$B$5</f>
        <v>9051</v>
      </c>
      <c r="J46" s="39">
        <f>H46*данные!$B$4</f>
        <v>8478.576</v>
      </c>
      <c r="K46" s="17">
        <f t="shared" si="8"/>
        <v>11170.644</v>
      </c>
      <c r="L46" s="17">
        <f t="shared" si="9"/>
        <v>44682.576</v>
      </c>
    </row>
    <row r="47" spans="1:12" ht="13.5" hidden="1" outlineLevel="1" thickBot="1">
      <c r="A47" s="79"/>
      <c r="B47" s="67">
        <v>10</v>
      </c>
      <c r="C47" s="17">
        <f>MAX(данные!M73:M80)</f>
        <v>1111.9950000000001</v>
      </c>
      <c r="D47" s="65">
        <f>VLOOKUP(C47,данные!$D$9:$J$80,3,0)</f>
        <v>4</v>
      </c>
      <c r="E47" s="19">
        <f>VLOOKUP($C47,данные!$D$73:$J$80,4,0)</f>
        <v>175</v>
      </c>
      <c r="F47" s="22">
        <f>VLOOKUP($C47,данные!$D$73:$J$80,5,0)</f>
        <v>41008</v>
      </c>
      <c r="G47" s="29">
        <f t="shared" si="10"/>
        <v>6209</v>
      </c>
      <c r="H47" s="35">
        <f t="shared" si="11"/>
        <v>1925136</v>
      </c>
      <c r="I47" s="40">
        <f>G47*данные!$B$5</f>
        <v>18627</v>
      </c>
      <c r="J47" s="39">
        <f>H47*данные!$B$4</f>
        <v>17326.224</v>
      </c>
      <c r="K47" s="17">
        <f t="shared" si="8"/>
        <v>22958.556</v>
      </c>
      <c r="L47" s="17">
        <f t="shared" si="9"/>
        <v>91834.224</v>
      </c>
    </row>
    <row r="48" spans="1:12" ht="12.75" hidden="1" outlineLevel="1">
      <c r="A48" s="68"/>
      <c r="B48" s="44"/>
      <c r="C48" s="30"/>
      <c r="D48" s="60"/>
      <c r="E48" s="60"/>
      <c r="F48" s="60"/>
      <c r="G48" s="60"/>
      <c r="H48" s="62"/>
      <c r="I48" s="63"/>
      <c r="J48" s="62"/>
      <c r="K48" s="30"/>
      <c r="L48" s="30"/>
    </row>
    <row r="49" spans="1:12" ht="12.75" hidden="1" outlineLevel="1">
      <c r="A49" s="68"/>
      <c r="B49" s="44"/>
      <c r="C49" s="30"/>
      <c r="D49" s="60"/>
      <c r="E49" s="60"/>
      <c r="F49" s="60"/>
      <c r="G49" s="60"/>
      <c r="H49" s="62"/>
      <c r="I49" s="63"/>
      <c r="J49" s="62"/>
      <c r="K49" s="30"/>
      <c r="L49" s="30"/>
    </row>
    <row r="50" ht="11.25" customHeight="1" hidden="1" outlineLevel="1"/>
    <row r="51" ht="13.5" hidden="1" outlineLevel="1" thickBot="1"/>
    <row r="52" spans="1:12" ht="64.5" hidden="1" outlineLevel="1" thickBot="1">
      <c r="A52" s="77" t="s">
        <v>45</v>
      </c>
      <c r="B52" s="66" t="s">
        <v>12</v>
      </c>
      <c r="C52" s="31" t="s">
        <v>9</v>
      </c>
      <c r="D52" s="31" t="s">
        <v>27</v>
      </c>
      <c r="E52" s="25" t="s">
        <v>46</v>
      </c>
      <c r="F52" s="33" t="s">
        <v>2</v>
      </c>
      <c r="G52" s="34" t="s">
        <v>22</v>
      </c>
      <c r="H52" s="33" t="s">
        <v>23</v>
      </c>
      <c r="I52" s="25" t="s">
        <v>29</v>
      </c>
      <c r="J52" s="37" t="s">
        <v>28</v>
      </c>
      <c r="K52" s="32" t="s">
        <v>26</v>
      </c>
      <c r="L52" s="32" t="s">
        <v>25</v>
      </c>
    </row>
    <row r="53" spans="1:12" ht="13.5" hidden="1" outlineLevel="1" thickBot="1">
      <c r="A53" s="78"/>
      <c r="B53" s="67">
        <v>2</v>
      </c>
      <c r="C53" s="23">
        <f>VLOOKUP($D53,данные!$F$9:$M$16,8,0)</f>
        <v>44.1</v>
      </c>
      <c r="D53" s="57">
        <v>5</v>
      </c>
      <c r="E53" s="19">
        <f>VLOOKUP($D53,данные!$F$9:$J$16,2,0)</f>
        <v>6</v>
      </c>
      <c r="F53" s="22">
        <f>VLOOKUP($D53,данные!$F$9:$J$16,3,0)</f>
        <v>3200</v>
      </c>
      <c r="G53" s="29">
        <f>E53</f>
        <v>6</v>
      </c>
      <c r="H53" s="35">
        <f>F53</f>
        <v>3200</v>
      </c>
      <c r="I53" s="40">
        <f>G53*$B$36/$B$5</f>
        <v>27</v>
      </c>
      <c r="J53" s="39">
        <f>H53*данные!$B$4</f>
        <v>28.799999999999997</v>
      </c>
      <c r="K53" s="17">
        <f>I53+J53/$B$5</f>
        <v>34.2</v>
      </c>
      <c r="L53" s="17">
        <f>K53*4</f>
        <v>136.8</v>
      </c>
    </row>
    <row r="54" spans="1:12" ht="13.5" hidden="1" outlineLevel="1" thickBot="1">
      <c r="A54" s="78"/>
      <c r="B54" s="67">
        <v>3</v>
      </c>
      <c r="C54" s="23">
        <f>VLOOKUP($D54,данные!$F$17:$M$24,8,0)</f>
        <v>69.75</v>
      </c>
      <c r="D54" s="57">
        <v>4</v>
      </c>
      <c r="E54" s="19">
        <f>VLOOKUP($D54,данные!$F$17:$J$24,2,0)</f>
        <v>10</v>
      </c>
      <c r="F54" s="22">
        <f>VLOOKUP($D54,данные!$F$17:$J$24,3,0)</f>
        <v>2400</v>
      </c>
      <c r="G54" s="29">
        <f>G53*2+E54</f>
        <v>22</v>
      </c>
      <c r="H54" s="35">
        <f>H53*2+F54</f>
        <v>8800</v>
      </c>
      <c r="I54" s="40">
        <f aca="true" t="shared" si="12" ref="I54:I61">G54*$B$36/$B$5</f>
        <v>99</v>
      </c>
      <c r="J54" s="39">
        <f>H54*данные!$B$4</f>
        <v>79.19999999999999</v>
      </c>
      <c r="K54" s="17">
        <f aca="true" t="shared" si="13" ref="K54:K61">I54+J54/$B$5</f>
        <v>118.8</v>
      </c>
      <c r="L54" s="17">
        <f aca="true" t="shared" si="14" ref="L54:L61">K54*4</f>
        <v>475.2</v>
      </c>
    </row>
    <row r="55" spans="1:12" ht="13.5" hidden="1" outlineLevel="1" thickBot="1">
      <c r="A55" s="78"/>
      <c r="B55" s="67">
        <v>4</v>
      </c>
      <c r="C55" s="23">
        <f>VLOOKUP($D55,данные!$F$25:$M$32,8,0)</f>
        <v>95.625</v>
      </c>
      <c r="D55" s="57">
        <v>4</v>
      </c>
      <c r="E55" s="19">
        <f>VLOOKUP($D55,данные!$F$25:$J$32,2,0)</f>
        <v>15</v>
      </c>
      <c r="F55" s="22">
        <f>VLOOKUP($D55,данные!$F$25:$J$32,3,0)</f>
        <v>3600</v>
      </c>
      <c r="G55" s="29">
        <f aca="true" t="shared" si="15" ref="G55:G61">G54*2+E55</f>
        <v>59</v>
      </c>
      <c r="H55" s="35">
        <f aca="true" t="shared" si="16" ref="H55:H61">H54*2+F55</f>
        <v>21200</v>
      </c>
      <c r="I55" s="40">
        <f t="shared" si="12"/>
        <v>265.5</v>
      </c>
      <c r="J55" s="39">
        <f>H55*данные!$B$4</f>
        <v>190.79999999999998</v>
      </c>
      <c r="K55" s="17">
        <f t="shared" si="13"/>
        <v>313.2</v>
      </c>
      <c r="L55" s="17">
        <f t="shared" si="14"/>
        <v>1252.8</v>
      </c>
    </row>
    <row r="56" spans="1:12" ht="13.5" hidden="1" outlineLevel="1" thickBot="1">
      <c r="A56" s="78"/>
      <c r="B56" s="67">
        <v>5</v>
      </c>
      <c r="C56" s="23">
        <f>VLOOKUP($D56,данные!$F$33:$M$40,8,0)</f>
        <v>152.37</v>
      </c>
      <c r="D56" s="57">
        <v>4</v>
      </c>
      <c r="E56" s="19">
        <f>VLOOKUP($D56,данные!$F$33:$J$40,2,0)</f>
        <v>23</v>
      </c>
      <c r="F56" s="22">
        <f>VLOOKUP($D56,данные!$F$33:$J$40,3,0)</f>
        <v>5408</v>
      </c>
      <c r="G56" s="29">
        <f t="shared" si="15"/>
        <v>141</v>
      </c>
      <c r="H56" s="35">
        <f t="shared" si="16"/>
        <v>47808</v>
      </c>
      <c r="I56" s="40">
        <f t="shared" si="12"/>
        <v>634.5</v>
      </c>
      <c r="J56" s="39">
        <f>H56*данные!$B$4</f>
        <v>430.272</v>
      </c>
      <c r="K56" s="17">
        <f t="shared" si="13"/>
        <v>742.068</v>
      </c>
      <c r="L56" s="17">
        <f t="shared" si="14"/>
        <v>2968.272</v>
      </c>
    </row>
    <row r="57" spans="1:12" ht="13.5" hidden="1" outlineLevel="1" thickBot="1">
      <c r="A57" s="78"/>
      <c r="B57" s="67">
        <v>6</v>
      </c>
      <c r="C57" s="23">
        <f>VLOOKUP($D57,данные!$F$41:$M$48,8,0)</f>
        <v>219.69</v>
      </c>
      <c r="D57" s="57">
        <v>4</v>
      </c>
      <c r="E57" s="19">
        <f>VLOOKUP($D57,данные!$F$41:$J$48,2,0)</f>
        <v>35</v>
      </c>
      <c r="F57" s="22">
        <f>VLOOKUP($D57,данные!$F$41:$J$48,3,0)</f>
        <v>8096</v>
      </c>
      <c r="G57" s="29">
        <f t="shared" si="15"/>
        <v>317</v>
      </c>
      <c r="H57" s="35">
        <f t="shared" si="16"/>
        <v>103712</v>
      </c>
      <c r="I57" s="40">
        <f t="shared" si="12"/>
        <v>1426.5</v>
      </c>
      <c r="J57" s="39">
        <f>H57*данные!$B$4</f>
        <v>933.4079999999999</v>
      </c>
      <c r="K57" s="17">
        <f t="shared" si="13"/>
        <v>1659.8519999999999</v>
      </c>
      <c r="L57" s="17">
        <f t="shared" si="14"/>
        <v>6639.407999999999</v>
      </c>
    </row>
    <row r="58" spans="1:12" ht="13.5" hidden="1" outlineLevel="1" thickBot="1">
      <c r="A58" s="78"/>
      <c r="B58" s="67">
        <v>7</v>
      </c>
      <c r="C58" s="23">
        <f>VLOOKUP($D58,данные!$F$49:$M$56,8,0)</f>
        <v>329.535</v>
      </c>
      <c r="D58" s="57">
        <v>4</v>
      </c>
      <c r="E58" s="19">
        <f>VLOOKUP($D58,данные!$F$49:$J$56,2,0)</f>
        <v>52</v>
      </c>
      <c r="F58" s="22">
        <f>VLOOKUP($D58,данные!$F$49:$J$56,3,0)</f>
        <v>12144</v>
      </c>
      <c r="G58" s="29">
        <f t="shared" si="15"/>
        <v>686</v>
      </c>
      <c r="H58" s="35">
        <f t="shared" si="16"/>
        <v>219568</v>
      </c>
      <c r="I58" s="40">
        <f t="shared" si="12"/>
        <v>3087</v>
      </c>
      <c r="J58" s="39">
        <f>H58*данные!$B$4</f>
        <v>1976.1119999999999</v>
      </c>
      <c r="K58" s="17">
        <f t="shared" si="13"/>
        <v>3581.028</v>
      </c>
      <c r="L58" s="17">
        <f t="shared" si="14"/>
        <v>14324.112</v>
      </c>
    </row>
    <row r="59" spans="1:12" ht="13.5" hidden="1" outlineLevel="1" thickBot="1">
      <c r="A59" s="78"/>
      <c r="B59" s="67">
        <v>8</v>
      </c>
      <c r="C59" s="23">
        <f>VLOOKUP($D59,данные!$F$57:$M$64,8,0)</f>
        <v>494.235</v>
      </c>
      <c r="D59" s="57">
        <v>4</v>
      </c>
      <c r="E59" s="19">
        <f>VLOOKUP($D59,данные!$F$57:$J$64,2,0)</f>
        <v>78</v>
      </c>
      <c r="F59" s="22">
        <f>VLOOKUP($D59,данные!$F$57:$J$64,3,0)</f>
        <v>18224</v>
      </c>
      <c r="G59" s="29">
        <f t="shared" si="15"/>
        <v>1450</v>
      </c>
      <c r="H59" s="35">
        <f t="shared" si="16"/>
        <v>457360</v>
      </c>
      <c r="I59" s="40">
        <f t="shared" si="12"/>
        <v>6525</v>
      </c>
      <c r="J59" s="39">
        <f>H59*данные!$B$4</f>
        <v>4116.24</v>
      </c>
      <c r="K59" s="17">
        <f t="shared" si="13"/>
        <v>7554.0599999999995</v>
      </c>
      <c r="L59" s="17">
        <f t="shared" si="14"/>
        <v>30216.239999999998</v>
      </c>
    </row>
    <row r="60" spans="1:12" ht="13.5" hidden="1" outlineLevel="1" thickBot="1">
      <c r="A60" s="78"/>
      <c r="B60" s="67">
        <v>9</v>
      </c>
      <c r="C60" s="23">
        <f>VLOOKUP($D60,данные!$F$65:$M$72,8,0)</f>
        <v>741.2850000000001</v>
      </c>
      <c r="D60" s="57">
        <v>4</v>
      </c>
      <c r="E60" s="19">
        <f>VLOOKUP($D60,данные!$F$65:$J$72,2,0)</f>
        <v>117</v>
      </c>
      <c r="F60" s="22">
        <f>VLOOKUP($D60,данные!$F$65:$J$72,3,0)</f>
        <v>27344</v>
      </c>
      <c r="G60" s="29">
        <f t="shared" si="15"/>
        <v>3017</v>
      </c>
      <c r="H60" s="35">
        <f t="shared" si="16"/>
        <v>942064</v>
      </c>
      <c r="I60" s="40">
        <f t="shared" si="12"/>
        <v>13576.5</v>
      </c>
      <c r="J60" s="39">
        <f>H60*данные!$B$4</f>
        <v>8478.576</v>
      </c>
      <c r="K60" s="17">
        <f t="shared" si="13"/>
        <v>15696.144</v>
      </c>
      <c r="L60" s="17">
        <f t="shared" si="14"/>
        <v>62784.576</v>
      </c>
    </row>
    <row r="61" spans="1:12" ht="13.5" hidden="1" outlineLevel="1" thickBot="1">
      <c r="A61" s="79"/>
      <c r="B61" s="67">
        <v>10</v>
      </c>
      <c r="C61" s="23">
        <f>VLOOKUP($D61,данные!$F$73:$M$80,8,0)</f>
        <v>1111.9950000000001</v>
      </c>
      <c r="D61" s="57">
        <v>4</v>
      </c>
      <c r="E61" s="19">
        <f>VLOOKUP($D61,данные!$F$73:$J$80,2,0)</f>
        <v>175</v>
      </c>
      <c r="F61" s="22">
        <f>VLOOKUP($D61,данные!$F$73:$J$80,3,0)</f>
        <v>41008</v>
      </c>
      <c r="G61" s="29">
        <f t="shared" si="15"/>
        <v>6209</v>
      </c>
      <c r="H61" s="35">
        <f t="shared" si="16"/>
        <v>1925136</v>
      </c>
      <c r="I61" s="40">
        <f t="shared" si="12"/>
        <v>27940.5</v>
      </c>
      <c r="J61" s="39">
        <f>H61*данные!$B$4</f>
        <v>17326.224</v>
      </c>
      <c r="K61" s="17">
        <f t="shared" si="13"/>
        <v>32272.056</v>
      </c>
      <c r="L61" s="17">
        <f t="shared" si="14"/>
        <v>129088.224</v>
      </c>
    </row>
    <row r="62" ht="12.75" hidden="1" outlineLevel="1"/>
    <row r="63" ht="12.75" hidden="1" outlineLevel="1"/>
    <row r="64" ht="12.75" collapsed="1"/>
    <row r="68" spans="10:11" ht="12.75">
      <c r="J68" s="27"/>
      <c r="K68" s="27"/>
    </row>
    <row r="69" ht="13.5" thickBot="1"/>
    <row r="70" spans="3:9" ht="39" thickBot="1">
      <c r="C70" s="45" t="s">
        <v>30</v>
      </c>
      <c r="D70" s="47"/>
      <c r="E70" s="46" t="s">
        <v>12</v>
      </c>
      <c r="F70" s="47" t="s">
        <v>37</v>
      </c>
      <c r="G70" s="48" t="s">
        <v>38</v>
      </c>
      <c r="I70" s="27"/>
    </row>
    <row r="71" spans="3:7" ht="13.5" thickBot="1">
      <c r="C71" s="49" t="s">
        <v>31</v>
      </c>
      <c r="D71" s="12" t="s">
        <v>14</v>
      </c>
      <c r="E71" s="57">
        <v>2</v>
      </c>
      <c r="F71" s="12">
        <f>IF(D71="атака",IF(ISNA(VLOOKUP($E71,инфа!$B$18:$F$28,2,0)),0,VLOOKUP($E71,инфа!$B$18:$F$28,2,0)),0)</f>
        <v>0</v>
      </c>
      <c r="G71" s="50">
        <f>IF(D71="защита",IF(ISNA(VLOOKUP($E71,инфа!$B$18:$F$28,3,0)),0,VLOOKUP($E71,инфа!$B$18:$F$28,3,0)),0)</f>
        <v>5.56</v>
      </c>
    </row>
    <row r="72" spans="3:7" ht="13.5" thickBot="1">
      <c r="C72" s="49" t="s">
        <v>32</v>
      </c>
      <c r="D72" s="12" t="s">
        <v>13</v>
      </c>
      <c r="E72" s="57">
        <v>2</v>
      </c>
      <c r="F72" s="12">
        <f>IF(D72="атака",IF(ISNA(VLOOKUP($E72,инфа!$B$18:$F$28,2,0)),0,VLOOKUP($E72,инфа!$B$18:$F$28,2,0)),0)</f>
        <v>6.67</v>
      </c>
      <c r="G72" s="50">
        <f>IF(D72="защита",IF(ISNA(VLOOKUP($E72,инфа!$B$18:$F$28,3,0)),0,VLOOKUP($E72,инфа!$B$18:$F$28,3,0)),0)</f>
        <v>0</v>
      </c>
    </row>
    <row r="73" spans="3:7" ht="13.5" thickBot="1">
      <c r="C73" s="49" t="s">
        <v>33</v>
      </c>
      <c r="D73" s="12" t="s">
        <v>14</v>
      </c>
      <c r="E73" s="57">
        <v>2</v>
      </c>
      <c r="F73" s="12">
        <f>IF(D73="атака",IF(ISNA(VLOOKUP($E73,инфа!$B$18:$F$28,2,0)),0,VLOOKUP($E73,инфа!$B$18:$F$28,2,0)),0)</f>
        <v>0</v>
      </c>
      <c r="G73" s="50">
        <f>IF(D73="защита",IF(ISNA(VLOOKUP($E73,инфа!$B$18:$F$28,3,0)),0,VLOOKUP($E73,инфа!$B$18:$F$28,3,0)),0)</f>
        <v>5.56</v>
      </c>
    </row>
    <row r="74" spans="3:7" ht="13.5" thickBot="1">
      <c r="C74" s="49" t="s">
        <v>34</v>
      </c>
      <c r="D74" s="12" t="s">
        <v>14</v>
      </c>
      <c r="E74" s="57">
        <v>2</v>
      </c>
      <c r="F74" s="12">
        <f>IF(D74="атака",IF(ISNA(VLOOKUP($E74,инфа!$B$18:$F$28,2,0)),0,VLOOKUP($E74,инфа!$B$18:$F$28,2,0)),0)</f>
        <v>0</v>
      </c>
      <c r="G74" s="50">
        <f>IF(D74="защита",IF(ISNA(VLOOKUP($E74,инфа!$B$18:$F$28,3,0)),0,VLOOKUP($E74,инфа!$B$18:$F$28,3,0)),0)</f>
        <v>5.56</v>
      </c>
    </row>
    <row r="75" spans="3:7" ht="13.5" thickBot="1">
      <c r="C75" s="49" t="s">
        <v>35</v>
      </c>
      <c r="D75" s="12" t="s">
        <v>13</v>
      </c>
      <c r="E75" s="57">
        <v>2</v>
      </c>
      <c r="F75" s="12">
        <f>IF(D75="атака",IF(ISNA(VLOOKUP($E75,инфа!$B$18:$F$28,2,0)),0,VLOOKUP($E75,инфа!$B$18:$F$28,2,0)),0)</f>
        <v>6.67</v>
      </c>
      <c r="G75" s="50">
        <f>IF(D75="защита",IF(ISNA(VLOOKUP($E75,инфа!$B$18:$F$28,3,0)),0,VLOOKUP($E75,инфа!$B$18:$F$28,3,0)),0)</f>
        <v>0</v>
      </c>
    </row>
    <row r="76" spans="3:7" ht="13.5" thickBot="1">
      <c r="C76" s="49" t="s">
        <v>36</v>
      </c>
      <c r="D76" s="12" t="s">
        <v>13</v>
      </c>
      <c r="E76" s="57">
        <v>2</v>
      </c>
      <c r="F76" s="12">
        <f>IF(D76="атака",IF(ISNA(VLOOKUP($E76,инфа!$B$18:$F$28,2,0)),0,VLOOKUP($E76,инфа!$B$18:$F$28,2,0)),0)</f>
        <v>6.67</v>
      </c>
      <c r="G76" s="50"/>
    </row>
    <row r="77" spans="3:7" ht="5.25" customHeight="1">
      <c r="C77" s="49"/>
      <c r="D77" s="12"/>
      <c r="E77" s="16"/>
      <c r="F77" s="12"/>
      <c r="G77" s="50"/>
    </row>
    <row r="78" spans="3:7" ht="13.5" thickBot="1">
      <c r="C78" s="52" t="s">
        <v>39</v>
      </c>
      <c r="D78" s="54"/>
      <c r="E78" s="53"/>
      <c r="F78" s="54">
        <f>SUM(F71:F77)</f>
        <v>20.009999999999998</v>
      </c>
      <c r="G78" s="55">
        <f>SUM(G71:G77)</f>
        <v>16.68</v>
      </c>
    </row>
    <row r="79" ht="12.75">
      <c r="C79" s="4"/>
    </row>
    <row r="82" ht="13.5" thickBot="1"/>
    <row r="83" spans="1:2" ht="13.5" thickBot="1">
      <c r="A83" s="1" t="s">
        <v>12</v>
      </c>
      <c r="B83" s="57">
        <v>2</v>
      </c>
    </row>
    <row r="84" ht="13.5" thickBot="1"/>
    <row r="85" spans="1:5" ht="25.5">
      <c r="A85" s="74" t="s">
        <v>49</v>
      </c>
      <c r="C85" s="69" t="s">
        <v>3</v>
      </c>
      <c r="D85" s="47" t="s">
        <v>47</v>
      </c>
      <c r="E85" s="48" t="s">
        <v>48</v>
      </c>
    </row>
    <row r="86" spans="1:5" ht="12.75">
      <c r="A86" s="75"/>
      <c r="C86" s="70">
        <v>0</v>
      </c>
      <c r="D86" s="16">
        <f>IF($B$83=2,данные!G9,IF(свод!$B$83=3,данные!G17,IF(свод!$B$83=4,данные!G25,IF(свод!$B$83=5,данные!G33,IF(свод!$B$83=6,данные!G41,IF(свод!$B$83=7,данные!G49,IF(свод!$B$83=8,данные!G57,IF(свод!$B$83=9,данные!G65,данные!G73))))))))</f>
        <v>10</v>
      </c>
      <c r="E86" s="71">
        <f>IF($B$83=2,данные!H9,IF(свод!$B$83=3,данные!H17,IF(свод!$B$83=4,данные!H25,IF(свод!$B$83=5,данные!H33,IF(свод!$B$83=6,данные!H41,IF(свод!$B$83=7,данные!H49,IF(свод!$B$83=8,данные!H57,IF(свод!$B$83=9,данные!H65,данные!H73))))))))</f>
        <v>100</v>
      </c>
    </row>
    <row r="87" spans="1:5" ht="12.75">
      <c r="A87" s="75"/>
      <c r="C87" s="70">
        <v>1</v>
      </c>
      <c r="D87" s="16">
        <f>IF($B$83=2,данные!G10,IF(свод!$B$83=3,данные!G18,IF(свод!$B$83=4,данные!G26,IF(свод!$B$83=5,данные!G34,IF(свод!$B$83=6,данные!G42,IF(свод!$B$83=7,данные!G50,IF(свод!$B$83=8,данные!G58,IF(свод!$B$83=9,данные!G66,данные!G74))))))))</f>
        <v>9</v>
      </c>
      <c r="E87" s="71">
        <f>IF($B$83=2,данные!H10,IF(свод!$B$83=3,данные!H18,IF(свод!$B$83=4,данные!H26,IF(свод!$B$83=5,данные!H34,IF(свод!$B$83=6,данные!H42,IF(свод!$B$83=7,данные!H50,IF(свод!$B$83=8,данные!H58,IF(свод!$B$83=9,данные!H66,данные!H74))))))))</f>
        <v>200</v>
      </c>
    </row>
    <row r="88" spans="1:5" ht="12.75">
      <c r="A88" s="75"/>
      <c r="C88" s="70">
        <v>2</v>
      </c>
      <c r="D88" s="16">
        <f>IF($B$83=2,данные!G11,IF(свод!$B$83=3,данные!G19,IF(свод!$B$83=4,данные!G27,IF(свод!$B$83=5,данные!G35,IF(свод!$B$83=6,данные!G43,IF(свод!$B$83=7,данные!G51,IF(свод!$B$83=8,данные!G59,IF(свод!$B$83=9,данные!G67,данные!G75))))))))</f>
        <v>8</v>
      </c>
      <c r="E88" s="71">
        <f>IF($B$83=2,данные!H11,IF(свод!$B$83=3,данные!H19,IF(свод!$B$83=4,данные!H27,IF(свод!$B$83=5,данные!H35,IF(свод!$B$83=6,данные!H43,IF(свод!$B$83=7,данные!H51,IF(свод!$B$83=8,данные!H59,IF(свод!$B$83=9,данные!H67,данные!H75))))))))</f>
        <v>400</v>
      </c>
    </row>
    <row r="89" spans="1:5" ht="12.75">
      <c r="A89" s="75"/>
      <c r="C89" s="70">
        <v>3</v>
      </c>
      <c r="D89" s="16">
        <f>IF($B$83=2,данные!G12,IF(свод!$B$83=3,данные!G20,IF(свод!$B$83=4,данные!G28,IF(свод!$B$83=5,данные!G36,IF(свод!$B$83=6,данные!G44,IF(свод!$B$83=7,данные!G52,IF(свод!$B$83=8,данные!G60,IF(свод!$B$83=9,данные!G68,данные!G76))))))))</f>
        <v>8</v>
      </c>
      <c r="E89" s="71">
        <f>IF($B$83=2,данные!H12,IF(свод!$B$83=3,данные!H20,IF(свод!$B$83=4,данные!H28,IF(свод!$B$83=5,данные!H36,IF(свод!$B$83=6,данные!H44,IF(свод!$B$83=7,данные!H52,IF(свод!$B$83=8,данные!H60,IF(свод!$B$83=9,данные!H68,данные!H76))))))))</f>
        <v>800</v>
      </c>
    </row>
    <row r="90" spans="1:5" ht="12.75">
      <c r="A90" s="75"/>
      <c r="C90" s="70">
        <v>4</v>
      </c>
      <c r="D90" s="16">
        <f>IF($B$83=2,данные!G13,IF(свод!$B$83=3,данные!G21,IF(свод!$B$83=4,данные!G29,IF(свод!$B$83=5,данные!G37,IF(свод!$B$83=6,данные!G45,IF(свод!$B$83=7,данные!G53,IF(свод!$B$83=8,данные!G61,IF(свод!$B$83=9,данные!G69,данные!G77))))))))</f>
        <v>7</v>
      </c>
      <c r="E90" s="71">
        <f>IF($B$83=2,данные!H13,IF(свод!$B$83=3,данные!H21,IF(свод!$B$83=4,данные!H29,IF(свод!$B$83=5,данные!H37,IF(свод!$B$83=6,данные!H45,IF(свод!$B$83=7,данные!H53,IF(свод!$B$83=8,данные!H61,IF(свод!$B$83=9,данные!H69,данные!H77))))))))</f>
        <v>1600</v>
      </c>
    </row>
    <row r="91" spans="1:5" ht="12.75">
      <c r="A91" s="75"/>
      <c r="C91" s="70">
        <v>5</v>
      </c>
      <c r="D91" s="16">
        <f>IF($B$83=2,данные!G14,IF(свод!$B$83=3,данные!G22,IF(свод!$B$83=4,данные!G30,IF(свод!$B$83=5,данные!G38,IF(свод!$B$83=6,данные!G46,IF(свод!$B$83=7,данные!G54,IF(свод!$B$83=8,данные!G62,IF(свод!$B$83=9,данные!G70,данные!G78))))))))</f>
        <v>6</v>
      </c>
      <c r="E91" s="71">
        <f>IF($B$83=2,данные!H14,IF(свод!$B$83=3,данные!H22,IF(свод!$B$83=4,данные!H30,IF(свод!$B$83=5,данные!H38,IF(свод!$B$83=6,данные!H46,IF(свод!$B$83=7,данные!H54,IF(свод!$B$83=8,данные!H62,IF(свод!$B$83=9,данные!H70,данные!H78))))))))</f>
        <v>3200</v>
      </c>
    </row>
    <row r="92" spans="1:5" ht="12.75">
      <c r="A92" s="75"/>
      <c r="C92" s="70">
        <v>6</v>
      </c>
      <c r="D92" s="16">
        <f>IF($B$83=2,данные!G15,IF(свод!$B$83=3,данные!G23,IF(свод!$B$83=4,данные!G31,IF(свод!$B$83=5,данные!G39,IF(свод!$B$83=6,данные!G47,IF(свод!$B$83=7,данные!G55,IF(свод!$B$83=8,данные!G63,IF(свод!$B$83=9,данные!G71,данные!G79))))))))</f>
        <v>6</v>
      </c>
      <c r="E92" s="71">
        <f>IF($B$83=2,данные!H15,IF(свод!$B$83=3,данные!H23,IF(свод!$B$83=4,данные!H31,IF(свод!$B$83=5,данные!H39,IF(свод!$B$83=6,данные!H47,IF(свод!$B$83=7,данные!H55,IF(свод!$B$83=8,данные!H63,IF(свод!$B$83=9,данные!H71,данные!H79))))))))</f>
        <v>6400</v>
      </c>
    </row>
    <row r="93" spans="1:5" ht="13.5" thickBot="1">
      <c r="A93" s="76"/>
      <c r="C93" s="72">
        <v>7</v>
      </c>
      <c r="D93" s="51">
        <f>IF($B$83=2,данные!G16,IF(свод!$B$83=3,данные!G24,IF(свод!$B$83=4,данные!G32,IF(свод!$B$83=5,данные!G40,IF(свод!$B$83=6,данные!G48,IF(свод!$B$83=7,данные!G56,IF(свод!$B$83=8,данные!G64,IF(свод!$B$83=9,данные!G72,данные!G80))))))))</f>
        <v>5</v>
      </c>
      <c r="E93" s="73">
        <f>IF($B$83=2,данные!H16,IF(свод!$B$83=3,данные!H24,IF(свод!$B$83=4,данные!H32,IF(свод!$B$83=5,данные!H40,IF(свод!$B$83=6,данные!H48,IF(свод!$B$83=7,данные!H56,IF(свод!$B$83=8,данные!H64,IF(свод!$B$83=9,данные!H72,данные!H80))))))))</f>
        <v>12800</v>
      </c>
    </row>
  </sheetData>
  <sheetProtection password="E92E" sheet="1" scenarios="1" autoFilter="0"/>
  <mergeCells count="5">
    <mergeCell ref="A85:A93"/>
    <mergeCell ref="A9:A18"/>
    <mergeCell ref="A22:A31"/>
    <mergeCell ref="A38:A47"/>
    <mergeCell ref="A52:A61"/>
  </mergeCells>
  <dataValidations count="2">
    <dataValidation type="list" allowBlank="1" showInputMessage="1" showErrorMessage="1" sqref="B83">
      <formula1>$P$11:$P$19</formula1>
    </dataValidation>
    <dataValidation type="list" allowBlank="1" showInputMessage="1" showErrorMessage="1" sqref="P11:P19">
      <formula1>$P$11:$P$19</formula1>
    </dataValidation>
  </dataValidations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A1">
      <selection activeCell="G33" sqref="G33"/>
    </sheetView>
  </sheetViews>
  <sheetFormatPr defaultColWidth="9.00390625" defaultRowHeight="12.75"/>
  <cols>
    <col min="1" max="1" width="9.125" style="4" customWidth="1"/>
    <col min="2" max="2" width="15.625" style="4" bestFit="1" customWidth="1"/>
    <col min="3" max="3" width="13.00390625" style="4" customWidth="1"/>
    <col min="4" max="4" width="10.625" style="4" bestFit="1" customWidth="1"/>
    <col min="5" max="5" width="10.00390625" style="4" bestFit="1" customWidth="1"/>
    <col min="6" max="6" width="9.75390625" style="4" bestFit="1" customWidth="1"/>
    <col min="7" max="7" width="9.00390625" style="4" customWidth="1"/>
    <col min="8" max="16384" width="9.125" style="4" customWidth="1"/>
  </cols>
  <sheetData>
    <row r="4" spans="2:11" ht="12.75">
      <c r="B4" s="81" t="s">
        <v>10</v>
      </c>
      <c r="C4" s="80" t="s">
        <v>11</v>
      </c>
      <c r="D4" s="80"/>
      <c r="E4" s="80"/>
      <c r="F4" s="80"/>
      <c r="G4" s="80"/>
      <c r="H4" s="80"/>
      <c r="I4" s="80"/>
      <c r="J4" s="80"/>
      <c r="K4" s="80"/>
    </row>
    <row r="5" spans="2:11" ht="26.25" customHeight="1">
      <c r="B5" s="8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2:11" ht="12.75">
      <c r="B6" s="9">
        <v>10</v>
      </c>
      <c r="C6" s="8">
        <f aca="true" t="shared" si="0" ref="C6:I6">D6*2</f>
        <v>512</v>
      </c>
      <c r="D6" s="8">
        <f t="shared" si="0"/>
        <v>256</v>
      </c>
      <c r="E6" s="8">
        <f t="shared" si="0"/>
        <v>128</v>
      </c>
      <c r="F6" s="8">
        <f t="shared" si="0"/>
        <v>64</v>
      </c>
      <c r="G6" s="8">
        <f t="shared" si="0"/>
        <v>32</v>
      </c>
      <c r="H6" s="8">
        <f t="shared" si="0"/>
        <v>16</v>
      </c>
      <c r="I6" s="8">
        <f t="shared" si="0"/>
        <v>8</v>
      </c>
      <c r="J6" s="8">
        <f>K6*2</f>
        <v>4</v>
      </c>
      <c r="K6" s="8">
        <v>2</v>
      </c>
    </row>
    <row r="7" spans="2:11" ht="12.75">
      <c r="B7" s="9">
        <v>9</v>
      </c>
      <c r="C7" s="8">
        <f>IF(C6/2&lt;=1,0,C6/2)</f>
        <v>256</v>
      </c>
      <c r="D7" s="8">
        <f aca="true" t="shared" si="1" ref="D7:K14">IF(D6/2&lt;=1,0,D6/2)</f>
        <v>128</v>
      </c>
      <c r="E7" s="8">
        <f t="shared" si="1"/>
        <v>64</v>
      </c>
      <c r="F7" s="8">
        <f t="shared" si="1"/>
        <v>32</v>
      </c>
      <c r="G7" s="8">
        <f t="shared" si="1"/>
        <v>16</v>
      </c>
      <c r="H7" s="8">
        <f t="shared" si="1"/>
        <v>8</v>
      </c>
      <c r="I7" s="8">
        <f t="shared" si="1"/>
        <v>4</v>
      </c>
      <c r="J7" s="8">
        <f t="shared" si="1"/>
        <v>2</v>
      </c>
      <c r="K7" s="8">
        <f>IF(K6/2&lt;=1,0,K6/2)</f>
        <v>0</v>
      </c>
    </row>
    <row r="8" spans="2:11" ht="12.75">
      <c r="B8" s="9">
        <v>8</v>
      </c>
      <c r="C8" s="8">
        <f aca="true" t="shared" si="2" ref="C8:C14">IF(C7/2&lt;=1,0,C7/2)</f>
        <v>128</v>
      </c>
      <c r="D8" s="8">
        <f t="shared" si="1"/>
        <v>64</v>
      </c>
      <c r="E8" s="8">
        <f t="shared" si="1"/>
        <v>32</v>
      </c>
      <c r="F8" s="8">
        <f t="shared" si="1"/>
        <v>16</v>
      </c>
      <c r="G8" s="8">
        <f t="shared" si="1"/>
        <v>8</v>
      </c>
      <c r="H8" s="8">
        <f t="shared" si="1"/>
        <v>4</v>
      </c>
      <c r="I8" s="8">
        <f t="shared" si="1"/>
        <v>2</v>
      </c>
      <c r="J8" s="8">
        <f t="shared" si="1"/>
        <v>0</v>
      </c>
      <c r="K8" s="8">
        <f t="shared" si="1"/>
        <v>0</v>
      </c>
    </row>
    <row r="9" spans="2:11" ht="12.75">
      <c r="B9" s="9">
        <v>7</v>
      </c>
      <c r="C9" s="8">
        <f t="shared" si="2"/>
        <v>64</v>
      </c>
      <c r="D9" s="8">
        <f t="shared" si="1"/>
        <v>32</v>
      </c>
      <c r="E9" s="8">
        <f t="shared" si="1"/>
        <v>16</v>
      </c>
      <c r="F9" s="8">
        <f t="shared" si="1"/>
        <v>8</v>
      </c>
      <c r="G9" s="8">
        <f t="shared" si="1"/>
        <v>4</v>
      </c>
      <c r="H9" s="8">
        <f t="shared" si="1"/>
        <v>2</v>
      </c>
      <c r="I9" s="8">
        <f t="shared" si="1"/>
        <v>0</v>
      </c>
      <c r="J9" s="8">
        <f t="shared" si="1"/>
        <v>0</v>
      </c>
      <c r="K9" s="8">
        <f t="shared" si="1"/>
        <v>0</v>
      </c>
    </row>
    <row r="10" spans="2:11" ht="12.75">
      <c r="B10" s="9">
        <v>6</v>
      </c>
      <c r="C10" s="8">
        <f t="shared" si="2"/>
        <v>32</v>
      </c>
      <c r="D10" s="8">
        <f t="shared" si="1"/>
        <v>16</v>
      </c>
      <c r="E10" s="8">
        <f t="shared" si="1"/>
        <v>8</v>
      </c>
      <c r="F10" s="8">
        <f t="shared" si="1"/>
        <v>4</v>
      </c>
      <c r="G10" s="8">
        <f t="shared" si="1"/>
        <v>2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</row>
    <row r="11" spans="2:11" ht="12.75">
      <c r="B11" s="9">
        <v>5</v>
      </c>
      <c r="C11" s="8">
        <f t="shared" si="2"/>
        <v>16</v>
      </c>
      <c r="D11" s="8">
        <f t="shared" si="1"/>
        <v>8</v>
      </c>
      <c r="E11" s="8">
        <f t="shared" si="1"/>
        <v>4</v>
      </c>
      <c r="F11" s="8">
        <f t="shared" si="1"/>
        <v>2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</row>
    <row r="12" spans="2:11" ht="12.75">
      <c r="B12" s="9">
        <v>4</v>
      </c>
      <c r="C12" s="8">
        <f t="shared" si="2"/>
        <v>8</v>
      </c>
      <c r="D12" s="8">
        <f t="shared" si="1"/>
        <v>4</v>
      </c>
      <c r="E12" s="8">
        <f t="shared" si="1"/>
        <v>2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</row>
    <row r="13" spans="2:11" ht="12.75">
      <c r="B13" s="9">
        <v>3</v>
      </c>
      <c r="C13" s="8">
        <f t="shared" si="2"/>
        <v>4</v>
      </c>
      <c r="D13" s="8">
        <f t="shared" si="1"/>
        <v>2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8">
        <f t="shared" si="1"/>
        <v>0</v>
      </c>
    </row>
    <row r="14" spans="2:11" ht="12.75">
      <c r="B14" s="9">
        <v>2</v>
      </c>
      <c r="C14" s="8">
        <f t="shared" si="2"/>
        <v>2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</row>
    <row r="18" spans="2:6" ht="30.75" customHeight="1">
      <c r="B18" s="9" t="s">
        <v>12</v>
      </c>
      <c r="C18" s="9" t="s">
        <v>13</v>
      </c>
      <c r="D18" s="9" t="s">
        <v>14</v>
      </c>
      <c r="E18" s="11" t="s">
        <v>15</v>
      </c>
      <c r="F18" s="11" t="s">
        <v>16</v>
      </c>
    </row>
    <row r="19" spans="2:6" ht="12.75">
      <c r="B19" s="8">
        <v>1</v>
      </c>
      <c r="C19" s="12">
        <v>3.33</v>
      </c>
      <c r="D19" s="12">
        <v>3.03</v>
      </c>
      <c r="E19" s="8">
        <v>0</v>
      </c>
      <c r="F19" s="8">
        <v>0</v>
      </c>
    </row>
    <row r="20" spans="2:6" ht="12.75">
      <c r="B20" s="8">
        <v>2</v>
      </c>
      <c r="C20" s="12">
        <v>6.67</v>
      </c>
      <c r="D20" s="12">
        <v>5.56</v>
      </c>
      <c r="E20" s="12">
        <f>C20-C19</f>
        <v>3.34</v>
      </c>
      <c r="F20" s="12">
        <f>D20-D19</f>
        <v>2.53</v>
      </c>
    </row>
    <row r="21" spans="2:6" ht="12.75">
      <c r="B21" s="8">
        <v>3</v>
      </c>
      <c r="C21" s="12">
        <v>10</v>
      </c>
      <c r="D21" s="12">
        <v>7.69</v>
      </c>
      <c r="E21" s="12">
        <f aca="true" t="shared" si="3" ref="E21:E28">C21-C20</f>
        <v>3.33</v>
      </c>
      <c r="F21" s="12">
        <f aca="true" t="shared" si="4" ref="F21:F28">D21-D20</f>
        <v>2.130000000000001</v>
      </c>
    </row>
    <row r="22" spans="2:6" ht="12.75">
      <c r="B22" s="8">
        <v>4</v>
      </c>
      <c r="C22" s="12">
        <v>13.3</v>
      </c>
      <c r="D22" s="12">
        <v>9.52</v>
      </c>
      <c r="E22" s="12">
        <f t="shared" si="3"/>
        <v>3.3000000000000007</v>
      </c>
      <c r="F22" s="12">
        <f t="shared" si="4"/>
        <v>1.8299999999999992</v>
      </c>
    </row>
    <row r="23" spans="2:6" ht="12.75">
      <c r="B23" s="8">
        <v>5</v>
      </c>
      <c r="C23" s="12">
        <v>16.7</v>
      </c>
      <c r="D23" s="12">
        <v>11.1</v>
      </c>
      <c r="E23" s="12">
        <f t="shared" si="3"/>
        <v>3.3999999999999986</v>
      </c>
      <c r="F23" s="12">
        <f t="shared" si="4"/>
        <v>1.58</v>
      </c>
    </row>
    <row r="24" spans="2:6" ht="12.75">
      <c r="B24" s="8">
        <v>6</v>
      </c>
      <c r="C24" s="12">
        <v>20</v>
      </c>
      <c r="D24" s="12">
        <v>12.5</v>
      </c>
      <c r="E24" s="12">
        <f t="shared" si="3"/>
        <v>3.3000000000000007</v>
      </c>
      <c r="F24" s="12">
        <f t="shared" si="4"/>
        <v>1.4000000000000004</v>
      </c>
    </row>
    <row r="25" spans="2:6" ht="12.75">
      <c r="B25" s="8">
        <v>7</v>
      </c>
      <c r="C25" s="12">
        <v>23.3</v>
      </c>
      <c r="D25" s="12">
        <v>13.7</v>
      </c>
      <c r="E25" s="12">
        <f t="shared" si="3"/>
        <v>3.3000000000000007</v>
      </c>
      <c r="F25" s="12">
        <f t="shared" si="4"/>
        <v>1.1999999999999993</v>
      </c>
    </row>
    <row r="26" spans="2:6" ht="12.75">
      <c r="B26" s="8">
        <v>8</v>
      </c>
      <c r="C26" s="12">
        <v>26.7</v>
      </c>
      <c r="D26" s="12">
        <v>14.8</v>
      </c>
      <c r="E26" s="12">
        <f t="shared" si="3"/>
        <v>3.3999999999999986</v>
      </c>
      <c r="F26" s="12">
        <f t="shared" si="4"/>
        <v>1.1000000000000014</v>
      </c>
    </row>
    <row r="27" spans="2:6" ht="12.75">
      <c r="B27" s="8">
        <v>9</v>
      </c>
      <c r="C27" s="12">
        <v>30</v>
      </c>
      <c r="D27" s="12">
        <v>15.8</v>
      </c>
      <c r="E27" s="12">
        <f t="shared" si="3"/>
        <v>3.3000000000000007</v>
      </c>
      <c r="F27" s="12">
        <f t="shared" si="4"/>
        <v>1</v>
      </c>
    </row>
    <row r="28" spans="2:6" ht="12.75">
      <c r="B28" s="8">
        <v>10</v>
      </c>
      <c r="C28" s="12">
        <v>33.3</v>
      </c>
      <c r="D28" s="12">
        <v>16.7</v>
      </c>
      <c r="E28" s="12">
        <f t="shared" si="3"/>
        <v>3.299999999999997</v>
      </c>
      <c r="F28" s="12">
        <f t="shared" si="4"/>
        <v>0.8999999999999986</v>
      </c>
    </row>
  </sheetData>
  <sheetProtection password="E92E" sheet="1" objects="1" scenarios="1"/>
  <mergeCells count="2">
    <mergeCell ref="C4:K4"/>
    <mergeCell ref="B4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80"/>
  <sheetViews>
    <sheetView workbookViewId="0" topLeftCell="A3">
      <pane xSplit="2" ySplit="6" topLeftCell="C25" activePane="bottomRight" state="frozen"/>
      <selection pane="topLeft" activeCell="A3" sqref="A3"/>
      <selection pane="topRight" activeCell="B3" sqref="B3"/>
      <selection pane="bottomLeft" activeCell="A9" sqref="A9"/>
      <selection pane="bottomRight" activeCell="P42" sqref="P42"/>
    </sheetView>
  </sheetViews>
  <sheetFormatPr defaultColWidth="9.00390625" defaultRowHeight="12.75"/>
  <cols>
    <col min="1" max="1" width="19.625" style="0" customWidth="1"/>
    <col min="2" max="2" width="9.75390625" style="0" customWidth="1"/>
    <col min="3" max="3" width="11.375" style="0" hidden="1" customWidth="1"/>
    <col min="4" max="4" width="10.75390625" style="0" hidden="1" customWidth="1"/>
    <col min="5" max="5" width="9.125" style="14" customWidth="1"/>
    <col min="6" max="6" width="7.875" style="14" customWidth="1"/>
    <col min="7" max="7" width="9.125" style="14" customWidth="1"/>
    <col min="8" max="8" width="10.25390625" style="7" bestFit="1" customWidth="1"/>
    <col min="9" max="9" width="8.00390625" style="14" customWidth="1"/>
    <col min="10" max="10" width="10.875" style="7" bestFit="1" customWidth="1"/>
    <col min="11" max="11" width="10.625" style="14" hidden="1" customWidth="1"/>
    <col min="12" max="12" width="10.875" style="4" bestFit="1" customWidth="1"/>
    <col min="13" max="13" width="12.75390625" style="3" customWidth="1"/>
    <col min="14" max="14" width="9.25390625" style="0" bestFit="1" customWidth="1"/>
    <col min="15" max="15" width="10.125" style="0" customWidth="1"/>
    <col min="16" max="16" width="11.75390625" style="0" customWidth="1"/>
    <col min="17" max="17" width="9.25390625" style="0" bestFit="1" customWidth="1"/>
  </cols>
  <sheetData>
    <row r="3" spans="1:2" ht="38.25">
      <c r="A3" s="2" t="s">
        <v>17</v>
      </c>
      <c r="B3">
        <f>свод!B4</f>
        <v>300</v>
      </c>
    </row>
    <row r="4" spans="1:2" ht="12.75">
      <c r="A4" s="2" t="s">
        <v>6</v>
      </c>
      <c r="B4">
        <f>свод!B6/1000</f>
        <v>0.009</v>
      </c>
    </row>
    <row r="5" spans="1:2" ht="25.5">
      <c r="A5" s="2" t="s">
        <v>7</v>
      </c>
      <c r="B5">
        <f>B3/100</f>
        <v>3</v>
      </c>
    </row>
    <row r="6" spans="1:2" ht="12.75">
      <c r="A6" s="2" t="s">
        <v>8</v>
      </c>
      <c r="B6">
        <f>свод!B5</f>
        <v>4</v>
      </c>
    </row>
    <row r="7" spans="1:12" ht="38.25">
      <c r="A7" s="2" t="s">
        <v>41</v>
      </c>
      <c r="B7">
        <f>свод!B36</f>
        <v>18</v>
      </c>
      <c r="J7" s="20"/>
      <c r="K7" s="21"/>
      <c r="L7" s="5"/>
    </row>
    <row r="8" spans="3:13" ht="89.25">
      <c r="C8" t="s">
        <v>21</v>
      </c>
      <c r="D8" t="s">
        <v>44</v>
      </c>
      <c r="E8" s="18" t="s">
        <v>0</v>
      </c>
      <c r="F8" s="18" t="s">
        <v>3</v>
      </c>
      <c r="G8" s="18" t="s">
        <v>1</v>
      </c>
      <c r="H8" s="10" t="s">
        <v>2</v>
      </c>
      <c r="I8" s="18" t="s">
        <v>4</v>
      </c>
      <c r="J8" s="10" t="s">
        <v>5</v>
      </c>
      <c r="K8" s="18" t="s">
        <v>20</v>
      </c>
      <c r="L8" s="11" t="s">
        <v>42</v>
      </c>
      <c r="M8" s="58" t="s">
        <v>43</v>
      </c>
    </row>
    <row r="9" spans="3:17" ht="12.75">
      <c r="C9" s="13">
        <f>L9</f>
        <v>0</v>
      </c>
      <c r="D9" s="13">
        <f>M9</f>
        <v>0</v>
      </c>
      <c r="E9" s="19">
        <v>2</v>
      </c>
      <c r="F9" s="19">
        <v>0</v>
      </c>
      <c r="G9" s="19">
        <v>10</v>
      </c>
      <c r="H9" s="22">
        <v>100</v>
      </c>
      <c r="I9" s="19">
        <f aca="true" t="shared" si="0" ref="I9:I40">G9*$B$5</f>
        <v>30</v>
      </c>
      <c r="J9" s="23">
        <f aca="true" t="shared" si="1" ref="J9:J40">H9*$B$4</f>
        <v>0.8999999999999999</v>
      </c>
      <c r="K9" s="24">
        <v>1</v>
      </c>
      <c r="L9" s="12">
        <v>0</v>
      </c>
      <c r="M9" s="3">
        <v>0</v>
      </c>
      <c r="O9" s="3"/>
      <c r="P9" s="3"/>
      <c r="Q9" s="13"/>
    </row>
    <row r="10" spans="3:18" ht="12.75">
      <c r="C10" s="13">
        <f aca="true" t="shared" si="2" ref="C10:C73">L10</f>
        <v>11.1</v>
      </c>
      <c r="D10" s="13">
        <f aca="true" t="shared" si="3" ref="D10:D73">M10</f>
        <v>17.1</v>
      </c>
      <c r="E10" s="19">
        <v>2</v>
      </c>
      <c r="F10" s="19">
        <v>1</v>
      </c>
      <c r="G10" s="19">
        <f>G9-1</f>
        <v>9</v>
      </c>
      <c r="H10" s="22">
        <f>H9*2</f>
        <v>200</v>
      </c>
      <c r="I10" s="19">
        <f t="shared" si="0"/>
        <v>27</v>
      </c>
      <c r="J10" s="23">
        <f t="shared" si="1"/>
        <v>1.7999999999999998</v>
      </c>
      <c r="K10" s="24">
        <v>1</v>
      </c>
      <c r="L10" s="12">
        <f aca="true" t="shared" si="4" ref="L10:L16">($I$9-I10)*$B$6-(J10-$J$9)</f>
        <v>11.1</v>
      </c>
      <c r="M10" s="59">
        <f>($G$9-G10)*$B$7-(J10-$J$9)</f>
        <v>17.1</v>
      </c>
      <c r="P10" s="3"/>
      <c r="Q10" s="13"/>
      <c r="R10" s="13"/>
    </row>
    <row r="11" spans="3:18" ht="12.75">
      <c r="C11" s="13">
        <f t="shared" si="2"/>
        <v>21.3</v>
      </c>
      <c r="D11" s="13">
        <f t="shared" si="3"/>
        <v>33.3</v>
      </c>
      <c r="E11" s="19">
        <v>2</v>
      </c>
      <c r="F11" s="19">
        <v>2</v>
      </c>
      <c r="G11" s="19">
        <f>G10-1</f>
        <v>8</v>
      </c>
      <c r="H11" s="22">
        <f>H10*2</f>
        <v>400</v>
      </c>
      <c r="I11" s="19">
        <f t="shared" si="0"/>
        <v>24</v>
      </c>
      <c r="J11" s="23">
        <f t="shared" si="1"/>
        <v>3.5999999999999996</v>
      </c>
      <c r="K11" s="24">
        <v>1</v>
      </c>
      <c r="L11" s="12">
        <f t="shared" si="4"/>
        <v>21.3</v>
      </c>
      <c r="M11" s="59">
        <f aca="true" t="shared" si="5" ref="M11:M16">($G$9-G11)*$B$7-(J11-$J$9)</f>
        <v>33.3</v>
      </c>
      <c r="P11" s="3"/>
      <c r="Q11" s="13"/>
      <c r="R11" s="13"/>
    </row>
    <row r="12" spans="3:18" ht="12.75">
      <c r="C12" s="13">
        <f t="shared" si="2"/>
        <v>17.700000000000003</v>
      </c>
      <c r="D12" s="13">
        <f t="shared" si="3"/>
        <v>29.700000000000003</v>
      </c>
      <c r="E12" s="19">
        <v>2</v>
      </c>
      <c r="F12" s="19">
        <v>3</v>
      </c>
      <c r="G12" s="19">
        <v>8</v>
      </c>
      <c r="H12" s="22">
        <v>800</v>
      </c>
      <c r="I12" s="19">
        <f t="shared" si="0"/>
        <v>24</v>
      </c>
      <c r="J12" s="23">
        <f t="shared" si="1"/>
        <v>7.199999999999999</v>
      </c>
      <c r="K12" s="24">
        <v>1</v>
      </c>
      <c r="L12" s="12">
        <f t="shared" si="4"/>
        <v>17.700000000000003</v>
      </c>
      <c r="M12" s="59">
        <f t="shared" si="5"/>
        <v>29.700000000000003</v>
      </c>
      <c r="P12" s="3"/>
      <c r="Q12" s="13"/>
      <c r="R12" s="13"/>
    </row>
    <row r="13" spans="3:18" ht="12.75">
      <c r="C13" s="13">
        <f t="shared" si="2"/>
        <v>22.5</v>
      </c>
      <c r="D13" s="13">
        <f t="shared" si="3"/>
        <v>40.5</v>
      </c>
      <c r="E13" s="19">
        <v>2</v>
      </c>
      <c r="F13" s="19">
        <v>4</v>
      </c>
      <c r="G13" s="19">
        <v>7</v>
      </c>
      <c r="H13" s="22">
        <f>H12*2</f>
        <v>1600</v>
      </c>
      <c r="I13" s="19">
        <f t="shared" si="0"/>
        <v>21</v>
      </c>
      <c r="J13" s="23">
        <f t="shared" si="1"/>
        <v>14.399999999999999</v>
      </c>
      <c r="K13" s="24">
        <v>1</v>
      </c>
      <c r="L13" s="12">
        <f t="shared" si="4"/>
        <v>22.5</v>
      </c>
      <c r="M13" s="59">
        <f t="shared" si="5"/>
        <v>40.5</v>
      </c>
      <c r="P13" s="3"/>
      <c r="Q13" s="13"/>
      <c r="R13" s="13"/>
    </row>
    <row r="14" spans="3:18" ht="12.75">
      <c r="C14" s="13">
        <f t="shared" si="2"/>
        <v>20.1</v>
      </c>
      <c r="D14" s="13">
        <f t="shared" si="3"/>
        <v>44.1</v>
      </c>
      <c r="E14" s="19">
        <v>2</v>
      </c>
      <c r="F14" s="19">
        <v>5</v>
      </c>
      <c r="G14" s="19">
        <v>6</v>
      </c>
      <c r="H14" s="22">
        <f>H13*2</f>
        <v>3200</v>
      </c>
      <c r="I14" s="19">
        <f t="shared" si="0"/>
        <v>18</v>
      </c>
      <c r="J14" s="23">
        <f t="shared" si="1"/>
        <v>28.799999999999997</v>
      </c>
      <c r="K14" s="24">
        <v>1</v>
      </c>
      <c r="L14" s="12">
        <f t="shared" si="4"/>
        <v>20.1</v>
      </c>
      <c r="M14" s="59">
        <f t="shared" si="5"/>
        <v>44.1</v>
      </c>
      <c r="P14" s="3"/>
      <c r="Q14" s="13"/>
      <c r="R14" s="13"/>
    </row>
    <row r="15" spans="3:18" ht="12.75">
      <c r="C15" s="13">
        <f t="shared" si="2"/>
        <v>-8.699999999999996</v>
      </c>
      <c r="D15" s="13">
        <f t="shared" si="3"/>
        <v>15.300000000000004</v>
      </c>
      <c r="E15" s="19">
        <v>2</v>
      </c>
      <c r="F15" s="19">
        <v>6</v>
      </c>
      <c r="G15" s="19">
        <v>6</v>
      </c>
      <c r="H15" s="22">
        <f>H14*2</f>
        <v>6400</v>
      </c>
      <c r="I15" s="19">
        <f t="shared" si="0"/>
        <v>18</v>
      </c>
      <c r="J15" s="23">
        <f t="shared" si="1"/>
        <v>57.599999999999994</v>
      </c>
      <c r="K15" s="24">
        <v>1</v>
      </c>
      <c r="L15" s="12">
        <f t="shared" si="4"/>
        <v>-8.699999999999996</v>
      </c>
      <c r="M15" s="59">
        <f t="shared" si="5"/>
        <v>15.300000000000004</v>
      </c>
      <c r="P15" s="3"/>
      <c r="Q15" s="13"/>
      <c r="R15" s="13"/>
    </row>
    <row r="16" spans="3:18" ht="12.75">
      <c r="C16" s="13">
        <f t="shared" si="2"/>
        <v>-54.29999999999998</v>
      </c>
      <c r="D16" s="13">
        <f t="shared" si="3"/>
        <v>-24.299999999999983</v>
      </c>
      <c r="E16" s="19">
        <v>2</v>
      </c>
      <c r="F16" s="19">
        <v>7</v>
      </c>
      <c r="G16" s="19">
        <v>5</v>
      </c>
      <c r="H16" s="22">
        <v>12800</v>
      </c>
      <c r="I16" s="19">
        <f t="shared" si="0"/>
        <v>15</v>
      </c>
      <c r="J16" s="23">
        <f t="shared" si="1"/>
        <v>115.19999999999999</v>
      </c>
      <c r="K16" s="24">
        <v>1</v>
      </c>
      <c r="L16" s="12">
        <f t="shared" si="4"/>
        <v>-54.29999999999998</v>
      </c>
      <c r="M16" s="59">
        <f t="shared" si="5"/>
        <v>-24.299999999999983</v>
      </c>
      <c r="P16" s="3"/>
      <c r="Q16" s="13"/>
      <c r="R16" s="13"/>
    </row>
    <row r="17" spans="3:17" ht="12.75">
      <c r="C17" s="13">
        <f t="shared" si="2"/>
        <v>0</v>
      </c>
      <c r="D17" s="13">
        <f t="shared" si="3"/>
        <v>0</v>
      </c>
      <c r="E17" s="19">
        <v>3</v>
      </c>
      <c r="F17" s="19">
        <v>0</v>
      </c>
      <c r="G17" s="19">
        <v>15</v>
      </c>
      <c r="H17" s="22">
        <v>150</v>
      </c>
      <c r="I17" s="19">
        <f t="shared" si="0"/>
        <v>45</v>
      </c>
      <c r="J17" s="23">
        <f t="shared" si="1"/>
        <v>1.3499999999999999</v>
      </c>
      <c r="K17" s="24">
        <v>1</v>
      </c>
      <c r="L17" s="12">
        <v>0</v>
      </c>
      <c r="M17" s="3">
        <v>0</v>
      </c>
      <c r="N17" s="13"/>
      <c r="P17" s="3"/>
      <c r="Q17" s="13"/>
    </row>
    <row r="18" spans="3:18" ht="12.75">
      <c r="C18" s="13">
        <f t="shared" si="2"/>
        <v>10.65</v>
      </c>
      <c r="D18" s="13">
        <f t="shared" si="3"/>
        <v>16.65</v>
      </c>
      <c r="E18" s="19">
        <v>3</v>
      </c>
      <c r="F18" s="19">
        <v>1</v>
      </c>
      <c r="G18" s="19">
        <v>14</v>
      </c>
      <c r="H18" s="22">
        <f>H17*2</f>
        <v>300</v>
      </c>
      <c r="I18" s="19">
        <f t="shared" si="0"/>
        <v>42</v>
      </c>
      <c r="J18" s="23">
        <f t="shared" si="1"/>
        <v>2.6999999999999997</v>
      </c>
      <c r="K18" s="24">
        <v>1</v>
      </c>
      <c r="L18" s="12">
        <f aca="true" t="shared" si="6" ref="L18:L24">($I$17-I18)*$B$6-(J18-$J$17)</f>
        <v>10.65</v>
      </c>
      <c r="M18" s="59">
        <f>($G$17-G18)*$B$7-(J18-$J$17)</f>
        <v>16.65</v>
      </c>
      <c r="P18" s="3"/>
      <c r="Q18" s="13"/>
      <c r="R18" s="13"/>
    </row>
    <row r="19" spans="3:18" ht="12.75">
      <c r="C19" s="13">
        <f t="shared" si="2"/>
        <v>31.95</v>
      </c>
      <c r="D19" s="13">
        <f t="shared" si="3"/>
        <v>49.95</v>
      </c>
      <c r="E19" s="19">
        <v>3</v>
      </c>
      <c r="F19" s="19">
        <v>2</v>
      </c>
      <c r="G19" s="19">
        <v>12</v>
      </c>
      <c r="H19" s="22">
        <f aca="true" t="shared" si="7" ref="H19:H24">H18*2</f>
        <v>600</v>
      </c>
      <c r="I19" s="19">
        <f t="shared" si="0"/>
        <v>36</v>
      </c>
      <c r="J19" s="23">
        <f t="shared" si="1"/>
        <v>5.3999999999999995</v>
      </c>
      <c r="K19" s="24">
        <v>1</v>
      </c>
      <c r="L19" s="12">
        <f t="shared" si="6"/>
        <v>31.95</v>
      </c>
      <c r="M19" s="59">
        <f aca="true" t="shared" si="8" ref="M19:M24">($G$17-G19)*$B$7-(J19-$J$17)</f>
        <v>49.95</v>
      </c>
      <c r="O19" s="3"/>
      <c r="P19" s="3"/>
      <c r="Q19" s="13"/>
      <c r="R19" s="13"/>
    </row>
    <row r="20" spans="3:18" ht="12.75">
      <c r="C20" s="13">
        <f t="shared" si="2"/>
        <v>38.55</v>
      </c>
      <c r="D20" s="13">
        <f t="shared" si="3"/>
        <v>62.55</v>
      </c>
      <c r="E20" s="19">
        <v>3</v>
      </c>
      <c r="F20" s="19">
        <v>3</v>
      </c>
      <c r="G20" s="19">
        <v>11</v>
      </c>
      <c r="H20" s="22">
        <f t="shared" si="7"/>
        <v>1200</v>
      </c>
      <c r="I20" s="19">
        <f t="shared" si="0"/>
        <v>33</v>
      </c>
      <c r="J20" s="23">
        <f t="shared" si="1"/>
        <v>10.799999999999999</v>
      </c>
      <c r="K20" s="24">
        <v>1</v>
      </c>
      <c r="L20" s="12">
        <f t="shared" si="6"/>
        <v>38.55</v>
      </c>
      <c r="M20" s="59">
        <f t="shared" si="8"/>
        <v>62.55</v>
      </c>
      <c r="O20" s="3"/>
      <c r="P20" s="3"/>
      <c r="Q20" s="13"/>
      <c r="R20" s="13"/>
    </row>
    <row r="21" spans="3:18" ht="12.75">
      <c r="C21" s="13">
        <f t="shared" si="2"/>
        <v>39.75</v>
      </c>
      <c r="D21" s="13">
        <f t="shared" si="3"/>
        <v>69.75</v>
      </c>
      <c r="E21" s="19">
        <v>3</v>
      </c>
      <c r="F21" s="19">
        <v>4</v>
      </c>
      <c r="G21" s="19">
        <v>10</v>
      </c>
      <c r="H21" s="22">
        <f t="shared" si="7"/>
        <v>2400</v>
      </c>
      <c r="I21" s="19">
        <f t="shared" si="0"/>
        <v>30</v>
      </c>
      <c r="J21" s="23">
        <f t="shared" si="1"/>
        <v>21.599999999999998</v>
      </c>
      <c r="K21" s="24">
        <v>1</v>
      </c>
      <c r="L21" s="12">
        <f t="shared" si="6"/>
        <v>39.75</v>
      </c>
      <c r="M21" s="59">
        <f t="shared" si="8"/>
        <v>69.75</v>
      </c>
      <c r="O21" s="3"/>
      <c r="P21" s="3"/>
      <c r="Q21" s="13"/>
      <c r="R21" s="13"/>
    </row>
    <row r="22" spans="3:18" ht="12.75">
      <c r="C22" s="13">
        <f t="shared" si="2"/>
        <v>30.150000000000006</v>
      </c>
      <c r="D22" s="13">
        <f t="shared" si="3"/>
        <v>66.15</v>
      </c>
      <c r="E22" s="19">
        <v>3</v>
      </c>
      <c r="F22" s="19">
        <v>5</v>
      </c>
      <c r="G22" s="19">
        <v>9</v>
      </c>
      <c r="H22" s="22">
        <f t="shared" si="7"/>
        <v>4800</v>
      </c>
      <c r="I22" s="19">
        <f t="shared" si="0"/>
        <v>27</v>
      </c>
      <c r="J22" s="23">
        <f t="shared" si="1"/>
        <v>43.199999999999996</v>
      </c>
      <c r="K22" s="24">
        <v>1</v>
      </c>
      <c r="L22" s="12">
        <f t="shared" si="6"/>
        <v>30.150000000000006</v>
      </c>
      <c r="M22" s="59">
        <f t="shared" si="8"/>
        <v>66.15</v>
      </c>
      <c r="N22" s="13"/>
      <c r="O22" s="3"/>
      <c r="P22" s="3"/>
      <c r="Q22" s="13"/>
      <c r="R22" s="13"/>
    </row>
    <row r="23" spans="3:18" ht="12.75">
      <c r="C23" s="13">
        <f t="shared" si="2"/>
        <v>-1.0499999999999972</v>
      </c>
      <c r="D23" s="13">
        <f t="shared" si="3"/>
        <v>40.95</v>
      </c>
      <c r="E23" s="19">
        <v>3</v>
      </c>
      <c r="F23" s="19">
        <v>6</v>
      </c>
      <c r="G23" s="19">
        <v>8</v>
      </c>
      <c r="H23" s="22">
        <f t="shared" si="7"/>
        <v>9600</v>
      </c>
      <c r="I23" s="19">
        <f t="shared" si="0"/>
        <v>24</v>
      </c>
      <c r="J23" s="23">
        <f t="shared" si="1"/>
        <v>86.39999999999999</v>
      </c>
      <c r="K23" s="24">
        <v>1</v>
      </c>
      <c r="L23" s="12">
        <f t="shared" si="6"/>
        <v>-1.0499999999999972</v>
      </c>
      <c r="M23" s="59">
        <f t="shared" si="8"/>
        <v>40.95</v>
      </c>
      <c r="O23" s="3"/>
      <c r="P23" s="3"/>
      <c r="Q23" s="13"/>
      <c r="R23" s="13"/>
    </row>
    <row r="24" spans="3:18" ht="12.75">
      <c r="C24" s="13">
        <f t="shared" si="2"/>
        <v>-87.44999999999999</v>
      </c>
      <c r="D24" s="13">
        <f t="shared" si="3"/>
        <v>-45.44999999999999</v>
      </c>
      <c r="E24" s="19">
        <v>3</v>
      </c>
      <c r="F24" s="19">
        <v>7</v>
      </c>
      <c r="G24" s="19">
        <v>8</v>
      </c>
      <c r="H24" s="22">
        <f t="shared" si="7"/>
        <v>19200</v>
      </c>
      <c r="I24" s="19">
        <f t="shared" si="0"/>
        <v>24</v>
      </c>
      <c r="J24" s="23">
        <f t="shared" si="1"/>
        <v>172.79999999999998</v>
      </c>
      <c r="K24" s="24">
        <v>1</v>
      </c>
      <c r="L24" s="12">
        <f t="shared" si="6"/>
        <v>-87.44999999999999</v>
      </c>
      <c r="M24" s="59">
        <f t="shared" si="8"/>
        <v>-45.44999999999999</v>
      </c>
      <c r="O24" s="3"/>
      <c r="P24" s="3"/>
      <c r="Q24" s="13"/>
      <c r="R24" s="13"/>
    </row>
    <row r="25" spans="3:17" ht="12.75">
      <c r="C25" s="13">
        <f t="shared" si="2"/>
        <v>0</v>
      </c>
      <c r="D25" s="13">
        <f t="shared" si="3"/>
        <v>0</v>
      </c>
      <c r="E25" s="19">
        <v>4</v>
      </c>
      <c r="F25" s="19">
        <v>0</v>
      </c>
      <c r="G25" s="19">
        <v>22</v>
      </c>
      <c r="H25" s="22">
        <v>225</v>
      </c>
      <c r="I25" s="19">
        <f t="shared" si="0"/>
        <v>66</v>
      </c>
      <c r="J25" s="23">
        <f t="shared" si="1"/>
        <v>2.025</v>
      </c>
      <c r="K25" s="24">
        <v>1</v>
      </c>
      <c r="L25" s="12">
        <v>0</v>
      </c>
      <c r="M25" s="3">
        <v>0</v>
      </c>
      <c r="O25" s="3"/>
      <c r="P25" s="3"/>
      <c r="Q25" s="13"/>
    </row>
    <row r="26" spans="3:18" ht="12.75">
      <c r="C26" s="13">
        <f t="shared" si="2"/>
        <v>21.975</v>
      </c>
      <c r="D26" s="13">
        <f t="shared" si="3"/>
        <v>33.975</v>
      </c>
      <c r="E26" s="19">
        <v>4</v>
      </c>
      <c r="F26" s="19">
        <v>1</v>
      </c>
      <c r="G26" s="19">
        <v>20</v>
      </c>
      <c r="H26" s="22">
        <f>H25*2</f>
        <v>450</v>
      </c>
      <c r="I26" s="19">
        <f t="shared" si="0"/>
        <v>60</v>
      </c>
      <c r="J26" s="23">
        <f t="shared" si="1"/>
        <v>4.05</v>
      </c>
      <c r="K26" s="24">
        <v>1</v>
      </c>
      <c r="L26" s="12">
        <f aca="true" t="shared" si="9" ref="L26:L32">($I$25-I26)*$B$6-(J26-$J$25)</f>
        <v>21.975</v>
      </c>
      <c r="M26" s="59">
        <f>($G$25-G26)*$B$7-(J26-$J$25)</f>
        <v>33.975</v>
      </c>
      <c r="O26" s="3"/>
      <c r="P26" s="3"/>
      <c r="Q26" s="13"/>
      <c r="R26" s="13"/>
    </row>
    <row r="27" spans="3:18" ht="12.75">
      <c r="C27" s="13">
        <f t="shared" si="2"/>
        <v>41.925</v>
      </c>
      <c r="D27" s="13">
        <f t="shared" si="3"/>
        <v>65.925</v>
      </c>
      <c r="E27" s="19">
        <v>4</v>
      </c>
      <c r="F27" s="19">
        <v>2</v>
      </c>
      <c r="G27" s="19">
        <v>18</v>
      </c>
      <c r="H27" s="22">
        <f aca="true" t="shared" si="10" ref="H27:H32">H26*2</f>
        <v>900</v>
      </c>
      <c r="I27" s="19">
        <f t="shared" si="0"/>
        <v>54</v>
      </c>
      <c r="J27" s="23">
        <f t="shared" si="1"/>
        <v>8.1</v>
      </c>
      <c r="K27" s="24">
        <v>1</v>
      </c>
      <c r="L27" s="12">
        <f t="shared" si="9"/>
        <v>41.925</v>
      </c>
      <c r="M27" s="59">
        <f aca="true" t="shared" si="11" ref="M27:M32">($G$25-G27)*$B$7-(J27-$J$25)</f>
        <v>65.925</v>
      </c>
      <c r="O27" s="3"/>
      <c r="P27" s="3"/>
      <c r="Q27" s="13"/>
      <c r="R27" s="13"/>
    </row>
    <row r="28" spans="3:18" ht="12.75">
      <c r="C28" s="13">
        <f t="shared" si="2"/>
        <v>45.825</v>
      </c>
      <c r="D28" s="13">
        <f t="shared" si="3"/>
        <v>75.825</v>
      </c>
      <c r="E28" s="19">
        <v>4</v>
      </c>
      <c r="F28" s="19">
        <v>3</v>
      </c>
      <c r="G28" s="19">
        <v>17</v>
      </c>
      <c r="H28" s="22">
        <f t="shared" si="10"/>
        <v>1800</v>
      </c>
      <c r="I28" s="19">
        <f t="shared" si="0"/>
        <v>51</v>
      </c>
      <c r="J28" s="23">
        <f t="shared" si="1"/>
        <v>16.2</v>
      </c>
      <c r="K28" s="24">
        <v>1</v>
      </c>
      <c r="L28" s="12">
        <f t="shared" si="9"/>
        <v>45.825</v>
      </c>
      <c r="M28" s="59">
        <f t="shared" si="11"/>
        <v>75.825</v>
      </c>
      <c r="O28" s="3"/>
      <c r="P28" s="3"/>
      <c r="Q28" s="13"/>
      <c r="R28" s="13"/>
    </row>
    <row r="29" spans="3:18" ht="12.75">
      <c r="C29" s="13">
        <f t="shared" si="2"/>
        <v>53.625</v>
      </c>
      <c r="D29" s="13">
        <f t="shared" si="3"/>
        <v>95.625</v>
      </c>
      <c r="E29" s="19">
        <v>4</v>
      </c>
      <c r="F29" s="19">
        <v>4</v>
      </c>
      <c r="G29" s="19">
        <v>15</v>
      </c>
      <c r="H29" s="22">
        <f t="shared" si="10"/>
        <v>3600</v>
      </c>
      <c r="I29" s="19">
        <f t="shared" si="0"/>
        <v>45</v>
      </c>
      <c r="J29" s="23">
        <f t="shared" si="1"/>
        <v>32.4</v>
      </c>
      <c r="K29" s="24">
        <v>1</v>
      </c>
      <c r="L29" s="12">
        <f t="shared" si="9"/>
        <v>53.625</v>
      </c>
      <c r="M29" s="59">
        <f t="shared" si="11"/>
        <v>95.625</v>
      </c>
      <c r="O29" s="3"/>
      <c r="P29" s="3"/>
      <c r="Q29" s="13"/>
      <c r="R29" s="13"/>
    </row>
    <row r="30" spans="3:18" ht="12.75">
      <c r="C30" s="13">
        <f t="shared" si="2"/>
        <v>33.225</v>
      </c>
      <c r="D30" s="13">
        <f t="shared" si="3"/>
        <v>81.225</v>
      </c>
      <c r="E30" s="19">
        <v>4</v>
      </c>
      <c r="F30" s="19">
        <v>5</v>
      </c>
      <c r="G30" s="19">
        <v>14</v>
      </c>
      <c r="H30" s="22">
        <f t="shared" si="10"/>
        <v>7200</v>
      </c>
      <c r="I30" s="19">
        <f t="shared" si="0"/>
        <v>42</v>
      </c>
      <c r="J30" s="23">
        <f t="shared" si="1"/>
        <v>64.8</v>
      </c>
      <c r="K30" s="24">
        <v>1</v>
      </c>
      <c r="L30" s="12">
        <f t="shared" si="9"/>
        <v>33.225</v>
      </c>
      <c r="M30" s="59">
        <f t="shared" si="11"/>
        <v>81.225</v>
      </c>
      <c r="O30" s="3"/>
      <c r="P30" s="3"/>
      <c r="Q30" s="13"/>
      <c r="R30" s="13"/>
    </row>
    <row r="31" spans="3:18" ht="12.75">
      <c r="C31" s="13">
        <f t="shared" si="2"/>
        <v>-7.574999999999989</v>
      </c>
      <c r="D31" s="13">
        <f t="shared" si="3"/>
        <v>52.42500000000001</v>
      </c>
      <c r="E31" s="19">
        <v>4</v>
      </c>
      <c r="F31" s="19">
        <v>6</v>
      </c>
      <c r="G31" s="19">
        <v>12</v>
      </c>
      <c r="H31" s="22">
        <f t="shared" si="10"/>
        <v>14400</v>
      </c>
      <c r="I31" s="19">
        <f t="shared" si="0"/>
        <v>36</v>
      </c>
      <c r="J31" s="23">
        <f t="shared" si="1"/>
        <v>129.6</v>
      </c>
      <c r="K31" s="24">
        <v>1</v>
      </c>
      <c r="L31" s="12">
        <f t="shared" si="9"/>
        <v>-7.574999999999989</v>
      </c>
      <c r="M31" s="59">
        <f t="shared" si="11"/>
        <v>52.42500000000001</v>
      </c>
      <c r="O31" s="3"/>
      <c r="P31" s="3"/>
      <c r="Q31" s="13"/>
      <c r="R31" s="13"/>
    </row>
    <row r="32" spans="3:17" ht="12.75">
      <c r="C32" s="13">
        <f t="shared" si="2"/>
        <v>-125.17500000000001</v>
      </c>
      <c r="D32" s="13">
        <f t="shared" si="3"/>
        <v>-59.17500000000001</v>
      </c>
      <c r="E32" s="19">
        <v>4</v>
      </c>
      <c r="F32" s="19">
        <v>7</v>
      </c>
      <c r="G32" s="19">
        <v>11</v>
      </c>
      <c r="H32" s="22">
        <f t="shared" si="10"/>
        <v>28800</v>
      </c>
      <c r="I32" s="19">
        <f t="shared" si="0"/>
        <v>33</v>
      </c>
      <c r="J32" s="23">
        <f t="shared" si="1"/>
        <v>259.2</v>
      </c>
      <c r="K32" s="24">
        <v>1</v>
      </c>
      <c r="L32" s="12">
        <f t="shared" si="9"/>
        <v>-125.17500000000001</v>
      </c>
      <c r="M32" s="59">
        <f t="shared" si="11"/>
        <v>-59.17500000000001</v>
      </c>
      <c r="O32" s="6"/>
      <c r="P32" s="6"/>
      <c r="Q32" s="13"/>
    </row>
    <row r="33" spans="3:13" ht="12.75">
      <c r="C33" s="13">
        <f t="shared" si="2"/>
        <v>0</v>
      </c>
      <c r="D33" s="13">
        <f t="shared" si="3"/>
        <v>0</v>
      </c>
      <c r="E33" s="19">
        <v>5</v>
      </c>
      <c r="F33" s="19">
        <v>0</v>
      </c>
      <c r="G33" s="19">
        <v>34</v>
      </c>
      <c r="H33" s="22">
        <v>338</v>
      </c>
      <c r="I33" s="19">
        <f t="shared" si="0"/>
        <v>102</v>
      </c>
      <c r="J33" s="23">
        <f t="shared" si="1"/>
        <v>3.042</v>
      </c>
      <c r="K33" s="24">
        <v>1</v>
      </c>
      <c r="L33" s="8">
        <v>0</v>
      </c>
      <c r="M33" s="3">
        <v>0</v>
      </c>
    </row>
    <row r="34" spans="3:13" ht="12.75">
      <c r="C34" s="13">
        <f t="shared" si="2"/>
        <v>32.958</v>
      </c>
      <c r="D34" s="13">
        <f t="shared" si="3"/>
        <v>50.958</v>
      </c>
      <c r="E34" s="19">
        <v>5</v>
      </c>
      <c r="F34" s="19">
        <v>1</v>
      </c>
      <c r="G34" s="19">
        <v>31</v>
      </c>
      <c r="H34" s="22">
        <f>H33*2</f>
        <v>676</v>
      </c>
      <c r="I34" s="19">
        <f t="shared" si="0"/>
        <v>93</v>
      </c>
      <c r="J34" s="23">
        <f t="shared" si="1"/>
        <v>6.084</v>
      </c>
      <c r="K34" s="24">
        <v>1</v>
      </c>
      <c r="L34" s="12">
        <f aca="true" t="shared" si="12" ref="L34:L40">($I$33-I34)*$B$6-(J34-$J$33)</f>
        <v>32.958</v>
      </c>
      <c r="M34" s="59">
        <f>($G$33-G34)*$B$7-(J34-$J$33)</f>
        <v>50.958</v>
      </c>
    </row>
    <row r="35" spans="3:13" ht="12.75">
      <c r="C35" s="13">
        <f t="shared" si="2"/>
        <v>62.874</v>
      </c>
      <c r="D35" s="13">
        <f t="shared" si="3"/>
        <v>98.874</v>
      </c>
      <c r="E35" s="19">
        <v>5</v>
      </c>
      <c r="F35" s="19">
        <v>2</v>
      </c>
      <c r="G35" s="19">
        <v>28</v>
      </c>
      <c r="H35" s="22">
        <f aca="true" t="shared" si="13" ref="H35:H40">H34*2</f>
        <v>1352</v>
      </c>
      <c r="I35" s="19">
        <f t="shared" si="0"/>
        <v>84</v>
      </c>
      <c r="J35" s="23">
        <f t="shared" si="1"/>
        <v>12.168</v>
      </c>
      <c r="K35" s="24">
        <v>1</v>
      </c>
      <c r="L35" s="12">
        <f t="shared" si="12"/>
        <v>62.874</v>
      </c>
      <c r="M35" s="59">
        <f aca="true" t="shared" si="14" ref="M35:M40">($G$33-G35)*$B$7-(J35-$J$33)</f>
        <v>98.874</v>
      </c>
    </row>
    <row r="36" spans="3:13" ht="12.75">
      <c r="C36" s="13">
        <f t="shared" si="2"/>
        <v>74.706</v>
      </c>
      <c r="D36" s="13">
        <f t="shared" si="3"/>
        <v>122.706</v>
      </c>
      <c r="E36" s="19">
        <v>5</v>
      </c>
      <c r="F36" s="19">
        <v>3</v>
      </c>
      <c r="G36" s="19">
        <v>26</v>
      </c>
      <c r="H36" s="22">
        <f t="shared" si="13"/>
        <v>2704</v>
      </c>
      <c r="I36" s="19">
        <f t="shared" si="0"/>
        <v>78</v>
      </c>
      <c r="J36" s="23">
        <f t="shared" si="1"/>
        <v>24.336</v>
      </c>
      <c r="K36" s="24">
        <v>1</v>
      </c>
      <c r="L36" s="12">
        <f t="shared" si="12"/>
        <v>74.706</v>
      </c>
      <c r="M36" s="59">
        <f t="shared" si="14"/>
        <v>122.706</v>
      </c>
    </row>
    <row r="37" spans="3:13" ht="12.75">
      <c r="C37" s="13">
        <f t="shared" si="2"/>
        <v>86.37</v>
      </c>
      <c r="D37" s="13">
        <f t="shared" si="3"/>
        <v>152.37</v>
      </c>
      <c r="E37" s="19">
        <v>5</v>
      </c>
      <c r="F37" s="19">
        <v>4</v>
      </c>
      <c r="G37" s="19">
        <v>23</v>
      </c>
      <c r="H37" s="22">
        <f t="shared" si="13"/>
        <v>5408</v>
      </c>
      <c r="I37" s="19">
        <f t="shared" si="0"/>
        <v>69</v>
      </c>
      <c r="J37" s="23">
        <f t="shared" si="1"/>
        <v>48.672</v>
      </c>
      <c r="K37" s="24">
        <v>1</v>
      </c>
      <c r="L37" s="12">
        <f t="shared" si="12"/>
        <v>86.37</v>
      </c>
      <c r="M37" s="59">
        <f t="shared" si="14"/>
        <v>152.37</v>
      </c>
    </row>
    <row r="38" spans="3:13" ht="12.75">
      <c r="C38" s="13">
        <f t="shared" si="2"/>
        <v>61.69800000000001</v>
      </c>
      <c r="D38" s="13">
        <f t="shared" si="3"/>
        <v>139.698</v>
      </c>
      <c r="E38" s="19">
        <v>5</v>
      </c>
      <c r="F38" s="19">
        <v>5</v>
      </c>
      <c r="G38" s="19">
        <v>21</v>
      </c>
      <c r="H38" s="22">
        <f t="shared" si="13"/>
        <v>10816</v>
      </c>
      <c r="I38" s="19">
        <f t="shared" si="0"/>
        <v>63</v>
      </c>
      <c r="J38" s="23">
        <f t="shared" si="1"/>
        <v>97.344</v>
      </c>
      <c r="K38" s="24">
        <v>1</v>
      </c>
      <c r="L38" s="12">
        <f t="shared" si="12"/>
        <v>61.69800000000001</v>
      </c>
      <c r="M38" s="59">
        <f t="shared" si="14"/>
        <v>139.698</v>
      </c>
    </row>
    <row r="39" spans="3:13" ht="12.75">
      <c r="C39" s="13">
        <f t="shared" si="2"/>
        <v>-11.645999999999987</v>
      </c>
      <c r="D39" s="13">
        <f t="shared" si="3"/>
        <v>78.35400000000001</v>
      </c>
      <c r="E39" s="19">
        <v>5</v>
      </c>
      <c r="F39" s="19">
        <v>6</v>
      </c>
      <c r="G39" s="19">
        <v>19</v>
      </c>
      <c r="H39" s="22">
        <f t="shared" si="13"/>
        <v>21632</v>
      </c>
      <c r="I39" s="19">
        <f t="shared" si="0"/>
        <v>57</v>
      </c>
      <c r="J39" s="23">
        <f t="shared" si="1"/>
        <v>194.688</v>
      </c>
      <c r="K39" s="24">
        <v>1</v>
      </c>
      <c r="L39" s="12">
        <f t="shared" si="12"/>
        <v>-11.645999999999987</v>
      </c>
      <c r="M39" s="59">
        <f t="shared" si="14"/>
        <v>78.35400000000001</v>
      </c>
    </row>
    <row r="40" spans="3:13" ht="12.75">
      <c r="C40" s="13">
        <f t="shared" si="2"/>
        <v>-182.334</v>
      </c>
      <c r="D40" s="13">
        <f t="shared" si="3"/>
        <v>-80.334</v>
      </c>
      <c r="E40" s="19">
        <v>5</v>
      </c>
      <c r="F40" s="19">
        <v>7</v>
      </c>
      <c r="G40" s="19">
        <v>17</v>
      </c>
      <c r="H40" s="22">
        <f t="shared" si="13"/>
        <v>43264</v>
      </c>
      <c r="I40" s="19">
        <f t="shared" si="0"/>
        <v>51</v>
      </c>
      <c r="J40" s="23">
        <f t="shared" si="1"/>
        <v>389.376</v>
      </c>
      <c r="K40" s="24">
        <v>1</v>
      </c>
      <c r="L40" s="12">
        <f t="shared" si="12"/>
        <v>-182.334</v>
      </c>
      <c r="M40" s="59">
        <f t="shared" si="14"/>
        <v>-80.334</v>
      </c>
    </row>
    <row r="41" spans="3:13" ht="12.75">
      <c r="C41" s="13">
        <f t="shared" si="2"/>
        <v>0</v>
      </c>
      <c r="D41" s="13">
        <f t="shared" si="3"/>
        <v>0</v>
      </c>
      <c r="E41" s="19">
        <v>6</v>
      </c>
      <c r="F41" s="19">
        <v>0</v>
      </c>
      <c r="G41" s="19">
        <v>51</v>
      </c>
      <c r="H41" s="22">
        <v>506</v>
      </c>
      <c r="I41" s="19">
        <f aca="true" t="shared" si="15" ref="I41:I72">G41*$B$5</f>
        <v>153</v>
      </c>
      <c r="J41" s="23">
        <f aca="true" t="shared" si="16" ref="J41:J72">H41*$B$4</f>
        <v>4.553999999999999</v>
      </c>
      <c r="K41" s="24">
        <v>1</v>
      </c>
      <c r="L41" s="8">
        <v>0</v>
      </c>
      <c r="M41" s="3">
        <v>0</v>
      </c>
    </row>
    <row r="42" spans="3:13" ht="12.75">
      <c r="C42" s="13">
        <f t="shared" si="2"/>
        <v>55.446</v>
      </c>
      <c r="D42" s="13">
        <f t="shared" si="3"/>
        <v>85.446</v>
      </c>
      <c r="E42" s="19">
        <v>6</v>
      </c>
      <c r="F42" s="19">
        <v>1</v>
      </c>
      <c r="G42" s="19">
        <v>46</v>
      </c>
      <c r="H42" s="22">
        <f>H41*2</f>
        <v>1012</v>
      </c>
      <c r="I42" s="19">
        <f t="shared" si="15"/>
        <v>138</v>
      </c>
      <c r="J42" s="23">
        <f t="shared" si="16"/>
        <v>9.107999999999999</v>
      </c>
      <c r="K42" s="24">
        <v>1</v>
      </c>
      <c r="L42" s="12">
        <f aca="true" t="shared" si="17" ref="L42:L48">($I$41-I42)*$B$6-(J42-$J$41)</f>
        <v>55.446</v>
      </c>
      <c r="M42" s="59">
        <f>($G$41-G42)*$B$7-(J42-$J$41)</f>
        <v>85.446</v>
      </c>
    </row>
    <row r="43" spans="3:13" ht="12.75">
      <c r="C43" s="13">
        <f t="shared" si="2"/>
        <v>94.338</v>
      </c>
      <c r="D43" s="13">
        <f t="shared" si="3"/>
        <v>148.338</v>
      </c>
      <c r="E43" s="19">
        <v>6</v>
      </c>
      <c r="F43" s="19">
        <v>2</v>
      </c>
      <c r="G43" s="19">
        <v>42</v>
      </c>
      <c r="H43" s="22">
        <f aca="true" t="shared" si="18" ref="H43:H48">H42*2</f>
        <v>2024</v>
      </c>
      <c r="I43" s="19">
        <f t="shared" si="15"/>
        <v>126</v>
      </c>
      <c r="J43" s="23">
        <f t="shared" si="16"/>
        <v>18.215999999999998</v>
      </c>
      <c r="K43" s="24">
        <v>1</v>
      </c>
      <c r="L43" s="12">
        <f t="shared" si="17"/>
        <v>94.338</v>
      </c>
      <c r="M43" s="59">
        <f aca="true" t="shared" si="19" ref="M43:M48">($G$41-G43)*$B$7-(J43-$J$41)</f>
        <v>148.338</v>
      </c>
    </row>
    <row r="44" spans="3:13" ht="12.75">
      <c r="C44" s="13">
        <f t="shared" si="2"/>
        <v>124.122</v>
      </c>
      <c r="D44" s="13">
        <f t="shared" si="3"/>
        <v>202.122</v>
      </c>
      <c r="E44" s="19">
        <v>6</v>
      </c>
      <c r="F44" s="19">
        <v>3</v>
      </c>
      <c r="G44" s="19">
        <v>38</v>
      </c>
      <c r="H44" s="22">
        <f t="shared" si="18"/>
        <v>4048</v>
      </c>
      <c r="I44" s="19">
        <f t="shared" si="15"/>
        <v>114</v>
      </c>
      <c r="J44" s="23">
        <f t="shared" si="16"/>
        <v>36.431999999999995</v>
      </c>
      <c r="K44" s="24">
        <v>1</v>
      </c>
      <c r="L44" s="12">
        <f t="shared" si="17"/>
        <v>124.122</v>
      </c>
      <c r="M44" s="59">
        <f t="shared" si="19"/>
        <v>202.122</v>
      </c>
    </row>
    <row r="45" spans="3:13" ht="12.75">
      <c r="C45" s="13">
        <f t="shared" si="2"/>
        <v>123.69000000000001</v>
      </c>
      <c r="D45" s="13">
        <f t="shared" si="3"/>
        <v>219.69</v>
      </c>
      <c r="E45" s="19">
        <v>6</v>
      </c>
      <c r="F45" s="19">
        <v>4</v>
      </c>
      <c r="G45" s="19">
        <v>35</v>
      </c>
      <c r="H45" s="22">
        <f t="shared" si="18"/>
        <v>8096</v>
      </c>
      <c r="I45" s="19">
        <f t="shared" si="15"/>
        <v>105</v>
      </c>
      <c r="J45" s="23">
        <f t="shared" si="16"/>
        <v>72.86399999999999</v>
      </c>
      <c r="K45" s="24">
        <v>1</v>
      </c>
      <c r="L45" s="12">
        <f t="shared" si="17"/>
        <v>123.69000000000001</v>
      </c>
      <c r="M45" s="59">
        <f t="shared" si="19"/>
        <v>219.69</v>
      </c>
    </row>
    <row r="46" spans="3:13" ht="12.75">
      <c r="C46" s="13">
        <f t="shared" si="2"/>
        <v>86.82600000000002</v>
      </c>
      <c r="D46" s="13">
        <f t="shared" si="3"/>
        <v>200.82600000000002</v>
      </c>
      <c r="E46" s="19">
        <v>6</v>
      </c>
      <c r="F46" s="19">
        <v>5</v>
      </c>
      <c r="G46" s="19">
        <v>32</v>
      </c>
      <c r="H46" s="22">
        <f t="shared" si="18"/>
        <v>16192</v>
      </c>
      <c r="I46" s="19">
        <f t="shared" si="15"/>
        <v>96</v>
      </c>
      <c r="J46" s="23">
        <f t="shared" si="16"/>
        <v>145.72799999999998</v>
      </c>
      <c r="K46" s="24">
        <v>1</v>
      </c>
      <c r="L46" s="12">
        <f t="shared" si="17"/>
        <v>86.82600000000002</v>
      </c>
      <c r="M46" s="59">
        <f t="shared" si="19"/>
        <v>200.82600000000002</v>
      </c>
    </row>
    <row r="47" spans="3:13" ht="12.75">
      <c r="C47" s="13">
        <f t="shared" si="2"/>
        <v>-22.901999999999987</v>
      </c>
      <c r="D47" s="13">
        <f t="shared" si="3"/>
        <v>109.09800000000001</v>
      </c>
      <c r="E47" s="19">
        <v>6</v>
      </c>
      <c r="F47" s="19">
        <v>6</v>
      </c>
      <c r="G47" s="19">
        <v>29</v>
      </c>
      <c r="H47" s="22">
        <f t="shared" si="18"/>
        <v>32384</v>
      </c>
      <c r="I47" s="19">
        <f t="shared" si="15"/>
        <v>87</v>
      </c>
      <c r="J47" s="23">
        <f t="shared" si="16"/>
        <v>291.45599999999996</v>
      </c>
      <c r="K47" s="24">
        <v>1</v>
      </c>
      <c r="L47" s="12">
        <f t="shared" si="17"/>
        <v>-22.901999999999987</v>
      </c>
      <c r="M47" s="59">
        <f t="shared" si="19"/>
        <v>109.09800000000001</v>
      </c>
    </row>
    <row r="48" spans="3:13" ht="12.75">
      <c r="C48" s="13">
        <f t="shared" si="2"/>
        <v>-278.35799999999995</v>
      </c>
      <c r="D48" s="13">
        <f t="shared" si="3"/>
        <v>-128.35799999999995</v>
      </c>
      <c r="E48" s="19">
        <v>6</v>
      </c>
      <c r="F48" s="19">
        <v>7</v>
      </c>
      <c r="G48" s="19">
        <v>26</v>
      </c>
      <c r="H48" s="22">
        <f t="shared" si="18"/>
        <v>64768</v>
      </c>
      <c r="I48" s="19">
        <f t="shared" si="15"/>
        <v>78</v>
      </c>
      <c r="J48" s="23">
        <f t="shared" si="16"/>
        <v>582.9119999999999</v>
      </c>
      <c r="K48" s="24">
        <v>1</v>
      </c>
      <c r="L48" s="12">
        <f t="shared" si="17"/>
        <v>-278.35799999999995</v>
      </c>
      <c r="M48" s="59">
        <f t="shared" si="19"/>
        <v>-128.35799999999995</v>
      </c>
    </row>
    <row r="49" spans="3:13" ht="12.75">
      <c r="C49" s="13">
        <f t="shared" si="2"/>
        <v>0</v>
      </c>
      <c r="D49" s="13">
        <f t="shared" si="3"/>
        <v>0</v>
      </c>
      <c r="E49" s="19">
        <v>7</v>
      </c>
      <c r="F49" s="19">
        <v>0</v>
      </c>
      <c r="G49" s="19">
        <v>76</v>
      </c>
      <c r="H49" s="22">
        <v>759</v>
      </c>
      <c r="I49" s="19">
        <f t="shared" si="15"/>
        <v>228</v>
      </c>
      <c r="J49" s="23">
        <f t="shared" si="16"/>
        <v>6.8309999999999995</v>
      </c>
      <c r="K49" s="24">
        <v>1</v>
      </c>
      <c r="L49" s="8">
        <v>0</v>
      </c>
      <c r="M49" s="3">
        <v>0</v>
      </c>
    </row>
    <row r="50" spans="3:13" ht="12.75">
      <c r="C50" s="13">
        <f t="shared" si="2"/>
        <v>77.169</v>
      </c>
      <c r="D50" s="13">
        <f t="shared" si="3"/>
        <v>119.169</v>
      </c>
      <c r="E50" s="19">
        <v>7</v>
      </c>
      <c r="F50" s="19">
        <v>1</v>
      </c>
      <c r="G50" s="19">
        <v>69</v>
      </c>
      <c r="H50" s="22">
        <f>H49*2</f>
        <v>1518</v>
      </c>
      <c r="I50" s="19">
        <f t="shared" si="15"/>
        <v>207</v>
      </c>
      <c r="J50" s="23">
        <f t="shared" si="16"/>
        <v>13.661999999999999</v>
      </c>
      <c r="K50" s="24">
        <v>1</v>
      </c>
      <c r="L50" s="12">
        <f aca="true" t="shared" si="20" ref="L50:L56">($I$49-I50)*$B$6-(J50-$J$49)</f>
        <v>77.169</v>
      </c>
      <c r="M50" s="59">
        <f>($G$49-G50)*$B$7-(J50-$J$49)</f>
        <v>119.169</v>
      </c>
    </row>
    <row r="51" spans="3:13" ht="12.75">
      <c r="C51" s="13">
        <f t="shared" si="2"/>
        <v>135.507</v>
      </c>
      <c r="D51" s="13">
        <f t="shared" si="3"/>
        <v>213.507</v>
      </c>
      <c r="E51" s="19">
        <v>7</v>
      </c>
      <c r="F51" s="19">
        <v>2</v>
      </c>
      <c r="G51" s="19">
        <v>63</v>
      </c>
      <c r="H51" s="22">
        <f aca="true" t="shared" si="21" ref="H51:H56">H50*2</f>
        <v>3036</v>
      </c>
      <c r="I51" s="19">
        <f t="shared" si="15"/>
        <v>189</v>
      </c>
      <c r="J51" s="23">
        <f t="shared" si="16"/>
        <v>27.323999999999998</v>
      </c>
      <c r="K51" s="24">
        <v>1</v>
      </c>
      <c r="L51" s="12">
        <f t="shared" si="20"/>
        <v>135.507</v>
      </c>
      <c r="M51" s="59">
        <f aca="true" t="shared" si="22" ref="M51:M56">($G$49-G51)*$B$7-(J51-$J$49)</f>
        <v>213.507</v>
      </c>
    </row>
    <row r="52" spans="3:13" ht="12.75">
      <c r="C52" s="13">
        <f t="shared" si="2"/>
        <v>180.183</v>
      </c>
      <c r="D52" s="13">
        <f t="shared" si="3"/>
        <v>294.183</v>
      </c>
      <c r="E52" s="19">
        <v>7</v>
      </c>
      <c r="F52" s="19">
        <v>3</v>
      </c>
      <c r="G52" s="19">
        <v>57</v>
      </c>
      <c r="H52" s="22">
        <f t="shared" si="21"/>
        <v>6072</v>
      </c>
      <c r="I52" s="19">
        <f t="shared" si="15"/>
        <v>171</v>
      </c>
      <c r="J52" s="23">
        <f t="shared" si="16"/>
        <v>54.647999999999996</v>
      </c>
      <c r="K52" s="24">
        <v>1</v>
      </c>
      <c r="L52" s="12">
        <f t="shared" si="20"/>
        <v>180.183</v>
      </c>
      <c r="M52" s="59">
        <f t="shared" si="22"/>
        <v>294.183</v>
      </c>
    </row>
    <row r="53" spans="3:13" ht="12.75">
      <c r="C53" s="13">
        <f t="shared" si="2"/>
        <v>185.53500000000003</v>
      </c>
      <c r="D53" s="13">
        <f t="shared" si="3"/>
        <v>329.535</v>
      </c>
      <c r="E53" s="19">
        <v>7</v>
      </c>
      <c r="F53" s="19">
        <v>4</v>
      </c>
      <c r="G53" s="19">
        <v>52</v>
      </c>
      <c r="H53" s="22">
        <f t="shared" si="21"/>
        <v>12144</v>
      </c>
      <c r="I53" s="19">
        <f t="shared" si="15"/>
        <v>156</v>
      </c>
      <c r="J53" s="23">
        <f t="shared" si="16"/>
        <v>109.29599999999999</v>
      </c>
      <c r="K53" s="24">
        <v>1</v>
      </c>
      <c r="L53" s="12">
        <f t="shared" si="20"/>
        <v>185.53500000000003</v>
      </c>
      <c r="M53" s="59">
        <f t="shared" si="22"/>
        <v>329.535</v>
      </c>
    </row>
    <row r="54" spans="3:13" ht="12.75">
      <c r="C54" s="13">
        <f t="shared" si="2"/>
        <v>136.239</v>
      </c>
      <c r="D54" s="13">
        <f t="shared" si="3"/>
        <v>310.23900000000003</v>
      </c>
      <c r="E54" s="19">
        <v>7</v>
      </c>
      <c r="F54" s="19">
        <v>5</v>
      </c>
      <c r="G54" s="19">
        <v>47</v>
      </c>
      <c r="H54" s="22">
        <f t="shared" si="21"/>
        <v>24288</v>
      </c>
      <c r="I54" s="19">
        <f t="shared" si="15"/>
        <v>141</v>
      </c>
      <c r="J54" s="23">
        <f t="shared" si="16"/>
        <v>218.59199999999998</v>
      </c>
      <c r="K54" s="24">
        <v>1</v>
      </c>
      <c r="L54" s="12">
        <f t="shared" si="20"/>
        <v>136.239</v>
      </c>
      <c r="M54" s="59">
        <f t="shared" si="22"/>
        <v>310.23900000000003</v>
      </c>
    </row>
    <row r="55" spans="3:13" ht="12.75">
      <c r="C55" s="13">
        <f t="shared" si="2"/>
        <v>-34.35299999999995</v>
      </c>
      <c r="D55" s="13">
        <f t="shared" si="3"/>
        <v>163.64700000000005</v>
      </c>
      <c r="E55" s="19">
        <v>7</v>
      </c>
      <c r="F55" s="19">
        <v>6</v>
      </c>
      <c r="G55" s="19">
        <v>43</v>
      </c>
      <c r="H55" s="22">
        <f t="shared" si="21"/>
        <v>48576</v>
      </c>
      <c r="I55" s="19">
        <f t="shared" si="15"/>
        <v>129</v>
      </c>
      <c r="J55" s="23">
        <f t="shared" si="16"/>
        <v>437.18399999999997</v>
      </c>
      <c r="K55" s="24">
        <v>1</v>
      </c>
      <c r="L55" s="12">
        <f t="shared" si="20"/>
        <v>-34.35299999999995</v>
      </c>
      <c r="M55" s="59">
        <f t="shared" si="22"/>
        <v>163.64700000000005</v>
      </c>
    </row>
    <row r="56" spans="3:13" ht="12.75">
      <c r="C56" s="13">
        <f t="shared" si="2"/>
        <v>-423.5369999999999</v>
      </c>
      <c r="D56" s="13">
        <f t="shared" si="3"/>
        <v>-201.53699999999992</v>
      </c>
      <c r="E56" s="19">
        <v>7</v>
      </c>
      <c r="F56" s="19">
        <v>7</v>
      </c>
      <c r="G56" s="19">
        <v>39</v>
      </c>
      <c r="H56" s="22">
        <f t="shared" si="21"/>
        <v>97152</v>
      </c>
      <c r="I56" s="19">
        <f t="shared" si="15"/>
        <v>117</v>
      </c>
      <c r="J56" s="23">
        <f t="shared" si="16"/>
        <v>874.3679999999999</v>
      </c>
      <c r="K56" s="24">
        <v>1</v>
      </c>
      <c r="L56" s="12">
        <f t="shared" si="20"/>
        <v>-423.5369999999999</v>
      </c>
      <c r="M56" s="59">
        <f t="shared" si="22"/>
        <v>-201.53699999999992</v>
      </c>
    </row>
    <row r="57" spans="3:13" ht="12.75">
      <c r="C57" s="13">
        <f t="shared" si="2"/>
        <v>0</v>
      </c>
      <c r="D57" s="13">
        <f t="shared" si="3"/>
        <v>0</v>
      </c>
      <c r="E57" s="19">
        <v>8</v>
      </c>
      <c r="F57" s="19">
        <v>0</v>
      </c>
      <c r="G57" s="19">
        <v>114</v>
      </c>
      <c r="H57" s="22">
        <v>1139</v>
      </c>
      <c r="I57" s="19">
        <f t="shared" si="15"/>
        <v>342</v>
      </c>
      <c r="J57" s="23">
        <f t="shared" si="16"/>
        <v>10.251</v>
      </c>
      <c r="K57" s="24">
        <v>1</v>
      </c>
      <c r="L57" s="8">
        <v>0</v>
      </c>
      <c r="M57" s="3">
        <v>0</v>
      </c>
    </row>
    <row r="58" spans="3:13" ht="12.75">
      <c r="C58" s="13">
        <f t="shared" si="2"/>
        <v>109.749</v>
      </c>
      <c r="D58" s="13">
        <f t="shared" si="3"/>
        <v>169.749</v>
      </c>
      <c r="E58" s="19">
        <v>8</v>
      </c>
      <c r="F58" s="19">
        <v>1</v>
      </c>
      <c r="G58" s="19">
        <v>104</v>
      </c>
      <c r="H58" s="22">
        <f>H57*2</f>
        <v>2278</v>
      </c>
      <c r="I58" s="19">
        <f t="shared" si="15"/>
        <v>312</v>
      </c>
      <c r="J58" s="23">
        <f t="shared" si="16"/>
        <v>20.502</v>
      </c>
      <c r="K58" s="24">
        <v>1</v>
      </c>
      <c r="L58" s="12">
        <f aca="true" t="shared" si="23" ref="L58:L64">($I$57-I58)*$B$6-(J58-$J$57)</f>
        <v>109.749</v>
      </c>
      <c r="M58" s="59">
        <f>($G$57-G58)*$B$7-(J58-$J$57)</f>
        <v>169.749</v>
      </c>
    </row>
    <row r="59" spans="3:13" ht="12.75">
      <c r="C59" s="13">
        <f t="shared" si="2"/>
        <v>209.247</v>
      </c>
      <c r="D59" s="13">
        <f t="shared" si="3"/>
        <v>329.247</v>
      </c>
      <c r="E59" s="19">
        <v>8</v>
      </c>
      <c r="F59" s="19">
        <v>2</v>
      </c>
      <c r="G59" s="19">
        <v>94</v>
      </c>
      <c r="H59" s="22">
        <f aca="true" t="shared" si="24" ref="H59:H64">H58*2</f>
        <v>4556</v>
      </c>
      <c r="I59" s="19">
        <f t="shared" si="15"/>
        <v>282</v>
      </c>
      <c r="J59" s="23">
        <f t="shared" si="16"/>
        <v>41.004</v>
      </c>
      <c r="K59" s="24">
        <v>1</v>
      </c>
      <c r="L59" s="12">
        <f t="shared" si="23"/>
        <v>209.247</v>
      </c>
      <c r="M59" s="59">
        <f aca="true" t="shared" si="25" ref="M59:M64">($G$57-G59)*$B$7-(J59-$J$57)</f>
        <v>329.247</v>
      </c>
    </row>
    <row r="60" spans="3:13" ht="12.75">
      <c r="C60" s="13">
        <f t="shared" si="2"/>
        <v>264.243</v>
      </c>
      <c r="D60" s="13">
        <f t="shared" si="3"/>
        <v>432.243</v>
      </c>
      <c r="E60" s="19">
        <v>8</v>
      </c>
      <c r="F60" s="19">
        <v>3</v>
      </c>
      <c r="G60" s="19">
        <v>86</v>
      </c>
      <c r="H60" s="22">
        <f t="shared" si="24"/>
        <v>9112</v>
      </c>
      <c r="I60" s="19">
        <f t="shared" si="15"/>
        <v>258</v>
      </c>
      <c r="J60" s="23">
        <f t="shared" si="16"/>
        <v>82.008</v>
      </c>
      <c r="K60" s="24">
        <v>1</v>
      </c>
      <c r="L60" s="12">
        <f t="shared" si="23"/>
        <v>264.243</v>
      </c>
      <c r="M60" s="59">
        <f t="shared" si="25"/>
        <v>432.243</v>
      </c>
    </row>
    <row r="61" spans="3:13" ht="12.75">
      <c r="C61" s="13">
        <f t="shared" si="2"/>
        <v>278.235</v>
      </c>
      <c r="D61" s="13">
        <f t="shared" si="3"/>
        <v>494.235</v>
      </c>
      <c r="E61" s="19">
        <v>8</v>
      </c>
      <c r="F61" s="19">
        <v>4</v>
      </c>
      <c r="G61" s="19">
        <v>78</v>
      </c>
      <c r="H61" s="22">
        <f t="shared" si="24"/>
        <v>18224</v>
      </c>
      <c r="I61" s="19">
        <f t="shared" si="15"/>
        <v>234</v>
      </c>
      <c r="J61" s="23">
        <f t="shared" si="16"/>
        <v>164.016</v>
      </c>
      <c r="K61" s="24">
        <v>1</v>
      </c>
      <c r="L61" s="12">
        <f t="shared" si="23"/>
        <v>278.235</v>
      </c>
      <c r="M61" s="59">
        <f t="shared" si="25"/>
        <v>494.235</v>
      </c>
    </row>
    <row r="62" spans="3:13" ht="12.75">
      <c r="C62" s="13">
        <f t="shared" si="2"/>
        <v>198.219</v>
      </c>
      <c r="D62" s="13">
        <f t="shared" si="3"/>
        <v>456.219</v>
      </c>
      <c r="E62" s="19">
        <v>8</v>
      </c>
      <c r="F62" s="19">
        <v>5</v>
      </c>
      <c r="G62" s="19">
        <v>71</v>
      </c>
      <c r="H62" s="22">
        <f t="shared" si="24"/>
        <v>36448</v>
      </c>
      <c r="I62" s="19">
        <f t="shared" si="15"/>
        <v>213</v>
      </c>
      <c r="J62" s="23">
        <f t="shared" si="16"/>
        <v>328.032</v>
      </c>
      <c r="K62" s="24">
        <v>1</v>
      </c>
      <c r="L62" s="12">
        <f t="shared" si="23"/>
        <v>198.219</v>
      </c>
      <c r="M62" s="59">
        <f t="shared" si="25"/>
        <v>456.219</v>
      </c>
    </row>
    <row r="63" spans="3:13" ht="12.75">
      <c r="C63" s="13">
        <f t="shared" si="2"/>
        <v>-45.81299999999999</v>
      </c>
      <c r="D63" s="13">
        <f t="shared" si="3"/>
        <v>254.187</v>
      </c>
      <c r="E63" s="19">
        <v>8</v>
      </c>
      <c r="F63" s="19">
        <v>6</v>
      </c>
      <c r="G63" s="19">
        <v>64</v>
      </c>
      <c r="H63" s="22">
        <f t="shared" si="24"/>
        <v>72896</v>
      </c>
      <c r="I63" s="19">
        <f t="shared" si="15"/>
        <v>192</v>
      </c>
      <c r="J63" s="23">
        <f t="shared" si="16"/>
        <v>656.064</v>
      </c>
      <c r="K63" s="24">
        <v>1</v>
      </c>
      <c r="L63" s="12">
        <f t="shared" si="23"/>
        <v>-45.81299999999999</v>
      </c>
      <c r="M63" s="59">
        <f t="shared" si="25"/>
        <v>254.187</v>
      </c>
    </row>
    <row r="64" spans="3:13" ht="12.75">
      <c r="C64" s="13">
        <f t="shared" si="2"/>
        <v>-641.877</v>
      </c>
      <c r="D64" s="13">
        <f t="shared" si="3"/>
        <v>-311.87699999999995</v>
      </c>
      <c r="E64" s="19">
        <v>8</v>
      </c>
      <c r="F64" s="19">
        <v>7</v>
      </c>
      <c r="G64" s="19">
        <v>59</v>
      </c>
      <c r="H64" s="22">
        <f t="shared" si="24"/>
        <v>145792</v>
      </c>
      <c r="I64" s="19">
        <f t="shared" si="15"/>
        <v>177</v>
      </c>
      <c r="J64" s="23">
        <f t="shared" si="16"/>
        <v>1312.128</v>
      </c>
      <c r="K64" s="24">
        <v>1</v>
      </c>
      <c r="L64" s="12">
        <f t="shared" si="23"/>
        <v>-641.877</v>
      </c>
      <c r="M64" s="59">
        <f t="shared" si="25"/>
        <v>-311.87699999999995</v>
      </c>
    </row>
    <row r="65" spans="3:13" ht="12.75">
      <c r="C65" s="13">
        <f t="shared" si="2"/>
        <v>0</v>
      </c>
      <c r="D65" s="13">
        <f t="shared" si="3"/>
        <v>0</v>
      </c>
      <c r="E65" s="19">
        <v>9</v>
      </c>
      <c r="F65" s="19">
        <v>0</v>
      </c>
      <c r="G65" s="19">
        <v>171</v>
      </c>
      <c r="H65" s="22">
        <v>1709</v>
      </c>
      <c r="I65" s="19">
        <f t="shared" si="15"/>
        <v>513</v>
      </c>
      <c r="J65" s="23">
        <f t="shared" si="16"/>
        <v>15.380999999999998</v>
      </c>
      <c r="K65" s="24">
        <v>1</v>
      </c>
      <c r="L65" s="8">
        <v>0</v>
      </c>
      <c r="M65" s="3">
        <v>0</v>
      </c>
    </row>
    <row r="66" spans="3:13" ht="12.75">
      <c r="C66" s="13">
        <f t="shared" si="2"/>
        <v>176.619</v>
      </c>
      <c r="D66" s="13">
        <f t="shared" si="3"/>
        <v>272.619</v>
      </c>
      <c r="E66" s="19">
        <v>9</v>
      </c>
      <c r="F66" s="19">
        <v>1</v>
      </c>
      <c r="G66" s="19">
        <v>155</v>
      </c>
      <c r="H66" s="22">
        <f>H65*2</f>
        <v>3418</v>
      </c>
      <c r="I66" s="19">
        <f t="shared" si="15"/>
        <v>465</v>
      </c>
      <c r="J66" s="23">
        <f t="shared" si="16"/>
        <v>30.761999999999997</v>
      </c>
      <c r="K66" s="24">
        <v>1</v>
      </c>
      <c r="L66" s="12">
        <f aca="true" t="shared" si="26" ref="L66:L72">($I$65-I66)*$B$6-(J66-$J$65)</f>
        <v>176.619</v>
      </c>
      <c r="M66" s="59">
        <f>($G$65-G66)*$B$7-(J66-$J$65)</f>
        <v>272.619</v>
      </c>
    </row>
    <row r="67" spans="3:13" ht="12.75">
      <c r="C67" s="13">
        <f t="shared" si="2"/>
        <v>313.857</v>
      </c>
      <c r="D67" s="13">
        <f t="shared" si="3"/>
        <v>493.857</v>
      </c>
      <c r="E67" s="19">
        <v>9</v>
      </c>
      <c r="F67" s="19">
        <v>2</v>
      </c>
      <c r="G67" s="19">
        <v>141</v>
      </c>
      <c r="H67" s="22">
        <f aca="true" t="shared" si="27" ref="H67:H72">H66*2</f>
        <v>6836</v>
      </c>
      <c r="I67" s="19">
        <f t="shared" si="15"/>
        <v>423</v>
      </c>
      <c r="J67" s="23">
        <f t="shared" si="16"/>
        <v>61.523999999999994</v>
      </c>
      <c r="K67" s="24">
        <v>1</v>
      </c>
      <c r="L67" s="12">
        <f t="shared" si="26"/>
        <v>313.857</v>
      </c>
      <c r="M67" s="59">
        <f aca="true" t="shared" si="28" ref="M67:M72">($G$65-G67)*$B$7-(J67-$J$65)</f>
        <v>493.857</v>
      </c>
    </row>
    <row r="68" spans="3:13" ht="12.75">
      <c r="C68" s="13">
        <f t="shared" si="2"/>
        <v>408.333</v>
      </c>
      <c r="D68" s="13">
        <f t="shared" si="3"/>
        <v>666.333</v>
      </c>
      <c r="E68" s="19">
        <v>9</v>
      </c>
      <c r="F68" s="19">
        <v>3</v>
      </c>
      <c r="G68" s="19">
        <v>128</v>
      </c>
      <c r="H68" s="22">
        <f t="shared" si="27"/>
        <v>13672</v>
      </c>
      <c r="I68" s="19">
        <f t="shared" si="15"/>
        <v>384</v>
      </c>
      <c r="J68" s="23">
        <f t="shared" si="16"/>
        <v>123.04799999999999</v>
      </c>
      <c r="K68" s="24">
        <v>1</v>
      </c>
      <c r="L68" s="12">
        <f t="shared" si="26"/>
        <v>408.333</v>
      </c>
      <c r="M68" s="59">
        <f t="shared" si="28"/>
        <v>666.333</v>
      </c>
    </row>
    <row r="69" spans="3:13" ht="12.75">
      <c r="C69" s="13">
        <f t="shared" si="2"/>
        <v>417.285</v>
      </c>
      <c r="D69" s="13">
        <f t="shared" si="3"/>
        <v>741.2850000000001</v>
      </c>
      <c r="E69" s="19">
        <v>9</v>
      </c>
      <c r="F69" s="19">
        <v>4</v>
      </c>
      <c r="G69" s="19">
        <v>117</v>
      </c>
      <c r="H69" s="22">
        <f t="shared" si="27"/>
        <v>27344</v>
      </c>
      <c r="I69" s="19">
        <f t="shared" si="15"/>
        <v>351</v>
      </c>
      <c r="J69" s="23">
        <f t="shared" si="16"/>
        <v>246.09599999999998</v>
      </c>
      <c r="K69" s="24">
        <v>1</v>
      </c>
      <c r="L69" s="12">
        <f t="shared" si="26"/>
        <v>417.285</v>
      </c>
      <c r="M69" s="59">
        <f t="shared" si="28"/>
        <v>741.2850000000001</v>
      </c>
    </row>
    <row r="70" spans="3:13" ht="12.75">
      <c r="C70" s="13">
        <f t="shared" si="2"/>
        <v>303.189</v>
      </c>
      <c r="D70" s="13">
        <f t="shared" si="3"/>
        <v>693.1890000000001</v>
      </c>
      <c r="E70" s="19">
        <v>9</v>
      </c>
      <c r="F70" s="19">
        <v>5</v>
      </c>
      <c r="G70" s="19">
        <v>106</v>
      </c>
      <c r="H70" s="22">
        <f t="shared" si="27"/>
        <v>54688</v>
      </c>
      <c r="I70" s="19">
        <f t="shared" si="15"/>
        <v>318</v>
      </c>
      <c r="J70" s="23">
        <f t="shared" si="16"/>
        <v>492.19199999999995</v>
      </c>
      <c r="K70" s="24">
        <v>1</v>
      </c>
      <c r="L70" s="12">
        <f t="shared" si="26"/>
        <v>303.189</v>
      </c>
      <c r="M70" s="59">
        <f t="shared" si="28"/>
        <v>693.1890000000001</v>
      </c>
    </row>
    <row r="71" spans="3:13" ht="12.75">
      <c r="C71" s="13">
        <f t="shared" si="2"/>
        <v>-81.00299999999993</v>
      </c>
      <c r="D71" s="13">
        <f t="shared" si="3"/>
        <v>362.99700000000007</v>
      </c>
      <c r="E71" s="19">
        <v>9</v>
      </c>
      <c r="F71" s="19">
        <v>6</v>
      </c>
      <c r="G71" s="19">
        <v>97</v>
      </c>
      <c r="H71" s="22">
        <f t="shared" si="27"/>
        <v>109376</v>
      </c>
      <c r="I71" s="19">
        <f t="shared" si="15"/>
        <v>291</v>
      </c>
      <c r="J71" s="23">
        <f t="shared" si="16"/>
        <v>984.3839999999999</v>
      </c>
      <c r="K71" s="24">
        <v>1</v>
      </c>
      <c r="L71" s="12">
        <f t="shared" si="26"/>
        <v>-81.00299999999993</v>
      </c>
      <c r="M71" s="59">
        <f t="shared" si="28"/>
        <v>362.99700000000007</v>
      </c>
    </row>
    <row r="72" spans="3:13" ht="12.75">
      <c r="C72" s="13">
        <f t="shared" si="2"/>
        <v>-957.3869999999997</v>
      </c>
      <c r="D72" s="13">
        <f t="shared" si="3"/>
        <v>-459.3869999999997</v>
      </c>
      <c r="E72" s="19">
        <v>9</v>
      </c>
      <c r="F72" s="19">
        <v>7</v>
      </c>
      <c r="G72" s="19">
        <v>88</v>
      </c>
      <c r="H72" s="22">
        <f t="shared" si="27"/>
        <v>218752</v>
      </c>
      <c r="I72" s="19">
        <f t="shared" si="15"/>
        <v>264</v>
      </c>
      <c r="J72" s="23">
        <f t="shared" si="16"/>
        <v>1968.7679999999998</v>
      </c>
      <c r="K72" s="24">
        <v>1</v>
      </c>
      <c r="L72" s="12">
        <f t="shared" si="26"/>
        <v>-957.3869999999997</v>
      </c>
      <c r="M72" s="59">
        <f t="shared" si="28"/>
        <v>-459.3869999999997</v>
      </c>
    </row>
    <row r="73" spans="3:13" ht="12.75">
      <c r="C73" s="13">
        <f t="shared" si="2"/>
        <v>0</v>
      </c>
      <c r="D73" s="13">
        <f t="shared" si="3"/>
        <v>0</v>
      </c>
      <c r="E73" s="19">
        <v>10</v>
      </c>
      <c r="F73" s="19">
        <v>0</v>
      </c>
      <c r="G73" s="19">
        <v>256</v>
      </c>
      <c r="H73" s="22">
        <v>2563</v>
      </c>
      <c r="I73" s="19">
        <f aca="true" t="shared" si="29" ref="I73:I80">G73*$B$5</f>
        <v>768</v>
      </c>
      <c r="J73" s="23">
        <f aca="true" t="shared" si="30" ref="J73:J80">H73*$B$4</f>
        <v>23.066999999999997</v>
      </c>
      <c r="K73" s="24">
        <v>1</v>
      </c>
      <c r="L73" s="8">
        <v>0</v>
      </c>
      <c r="M73" s="3">
        <v>0</v>
      </c>
    </row>
    <row r="74" spans="3:13" ht="12.75">
      <c r="C74" s="13">
        <f aca="true" t="shared" si="31" ref="C74:C80">L74</f>
        <v>252.933</v>
      </c>
      <c r="D74" s="13">
        <f aca="true" t="shared" si="32" ref="D74:D80">M74</f>
        <v>390.933</v>
      </c>
      <c r="E74" s="19">
        <v>10</v>
      </c>
      <c r="F74" s="19">
        <v>1</v>
      </c>
      <c r="G74" s="19">
        <v>233</v>
      </c>
      <c r="H74" s="22">
        <f>H73*2</f>
        <v>5126</v>
      </c>
      <c r="I74" s="19">
        <f t="shared" si="29"/>
        <v>699</v>
      </c>
      <c r="J74" s="23">
        <f t="shared" si="30"/>
        <v>46.13399999999999</v>
      </c>
      <c r="K74" s="24">
        <v>1</v>
      </c>
      <c r="L74" s="12">
        <f aca="true" t="shared" si="33" ref="L74:L80">($I$73-I74)*$B$6-(J74-$J$73)</f>
        <v>252.933</v>
      </c>
      <c r="M74" s="59">
        <f>($G$73-G74)*$B$7-(J74-$J$73)</f>
        <v>390.933</v>
      </c>
    </row>
    <row r="75" spans="3:13" ht="12.75">
      <c r="C75" s="13">
        <f t="shared" si="31"/>
        <v>458.799</v>
      </c>
      <c r="D75" s="13">
        <f t="shared" si="32"/>
        <v>722.799</v>
      </c>
      <c r="E75" s="19">
        <v>10</v>
      </c>
      <c r="F75" s="19">
        <v>2</v>
      </c>
      <c r="G75" s="19">
        <v>212</v>
      </c>
      <c r="H75" s="22">
        <f aca="true" t="shared" si="34" ref="H75:H80">H74*2</f>
        <v>10252</v>
      </c>
      <c r="I75" s="19">
        <f t="shared" si="29"/>
        <v>636</v>
      </c>
      <c r="J75" s="23">
        <f t="shared" si="30"/>
        <v>92.26799999999999</v>
      </c>
      <c r="K75" s="24">
        <v>1</v>
      </c>
      <c r="L75" s="12">
        <f t="shared" si="33"/>
        <v>458.799</v>
      </c>
      <c r="M75" s="59">
        <f aca="true" t="shared" si="35" ref="M75:M80">($G$73-G75)*$B$7-(J75-$J$73)</f>
        <v>722.799</v>
      </c>
    </row>
    <row r="76" spans="3:13" ht="12.75">
      <c r="C76" s="13">
        <f t="shared" si="31"/>
        <v>606.5310000000001</v>
      </c>
      <c r="D76" s="13">
        <f t="shared" si="32"/>
        <v>990.5310000000001</v>
      </c>
      <c r="E76" s="19">
        <v>10</v>
      </c>
      <c r="F76" s="19">
        <v>3</v>
      </c>
      <c r="G76" s="19">
        <v>192</v>
      </c>
      <c r="H76" s="22">
        <f t="shared" si="34"/>
        <v>20504</v>
      </c>
      <c r="I76" s="19">
        <f t="shared" si="29"/>
        <v>576</v>
      </c>
      <c r="J76" s="23">
        <f t="shared" si="30"/>
        <v>184.53599999999997</v>
      </c>
      <c r="K76" s="24">
        <v>1</v>
      </c>
      <c r="L76" s="12">
        <f t="shared" si="33"/>
        <v>606.5310000000001</v>
      </c>
      <c r="M76" s="59">
        <f t="shared" si="35"/>
        <v>990.5310000000001</v>
      </c>
    </row>
    <row r="77" spans="3:13" ht="12.75">
      <c r="C77" s="13">
        <f t="shared" si="31"/>
        <v>625.9950000000001</v>
      </c>
      <c r="D77" s="13">
        <f t="shared" si="32"/>
        <v>1111.9950000000001</v>
      </c>
      <c r="E77" s="19">
        <v>10</v>
      </c>
      <c r="F77" s="19">
        <v>4</v>
      </c>
      <c r="G77" s="19">
        <v>175</v>
      </c>
      <c r="H77" s="22">
        <f t="shared" si="34"/>
        <v>41008</v>
      </c>
      <c r="I77" s="19">
        <f t="shared" si="29"/>
        <v>525</v>
      </c>
      <c r="J77" s="23">
        <f t="shared" si="30"/>
        <v>369.07199999999995</v>
      </c>
      <c r="K77" s="24">
        <v>1</v>
      </c>
      <c r="L77" s="12">
        <f t="shared" si="33"/>
        <v>625.9950000000001</v>
      </c>
      <c r="M77" s="59">
        <f t="shared" si="35"/>
        <v>1111.9950000000001</v>
      </c>
    </row>
    <row r="78" spans="3:13" ht="12.75">
      <c r="C78" s="13">
        <f t="shared" si="31"/>
        <v>448.9230000000001</v>
      </c>
      <c r="D78" s="13">
        <f t="shared" si="32"/>
        <v>1030.9230000000002</v>
      </c>
      <c r="E78" s="19">
        <v>10</v>
      </c>
      <c r="F78" s="19">
        <v>5</v>
      </c>
      <c r="G78" s="19">
        <v>159</v>
      </c>
      <c r="H78" s="22">
        <f t="shared" si="34"/>
        <v>82016</v>
      </c>
      <c r="I78" s="19">
        <f t="shared" si="29"/>
        <v>477</v>
      </c>
      <c r="J78" s="23">
        <f t="shared" si="30"/>
        <v>738.1439999999999</v>
      </c>
      <c r="K78" s="24">
        <v>1</v>
      </c>
      <c r="L78" s="12">
        <f t="shared" si="33"/>
        <v>448.9230000000001</v>
      </c>
      <c r="M78" s="59">
        <f t="shared" si="35"/>
        <v>1030.9230000000002</v>
      </c>
    </row>
    <row r="79" spans="3:13" ht="12.75">
      <c r="C79" s="13">
        <f t="shared" si="31"/>
        <v>-121.22099999999978</v>
      </c>
      <c r="D79" s="13">
        <f t="shared" si="32"/>
        <v>544.7790000000002</v>
      </c>
      <c r="E79" s="19">
        <v>10</v>
      </c>
      <c r="F79" s="19">
        <v>6</v>
      </c>
      <c r="G79" s="19">
        <v>145</v>
      </c>
      <c r="H79" s="22">
        <f t="shared" si="34"/>
        <v>164032</v>
      </c>
      <c r="I79" s="19">
        <f t="shared" si="29"/>
        <v>435</v>
      </c>
      <c r="J79" s="23">
        <f t="shared" si="30"/>
        <v>1476.2879999999998</v>
      </c>
      <c r="K79" s="24">
        <v>1</v>
      </c>
      <c r="L79" s="12">
        <f t="shared" si="33"/>
        <v>-121.22099999999978</v>
      </c>
      <c r="M79" s="59">
        <f t="shared" si="35"/>
        <v>544.7790000000002</v>
      </c>
    </row>
    <row r="80" spans="3:13" ht="12.75">
      <c r="C80" s="13">
        <f t="shared" si="31"/>
        <v>-1429.5089999999996</v>
      </c>
      <c r="D80" s="13">
        <f t="shared" si="32"/>
        <v>-679.5089999999996</v>
      </c>
      <c r="E80" s="19">
        <v>10</v>
      </c>
      <c r="F80" s="19">
        <v>7</v>
      </c>
      <c r="G80" s="19">
        <v>131</v>
      </c>
      <c r="H80" s="22">
        <f t="shared" si="34"/>
        <v>328064</v>
      </c>
      <c r="I80" s="19">
        <f t="shared" si="29"/>
        <v>393</v>
      </c>
      <c r="J80" s="23">
        <f t="shared" si="30"/>
        <v>2952.5759999999996</v>
      </c>
      <c r="K80" s="24">
        <v>1</v>
      </c>
      <c r="L80" s="12">
        <f t="shared" si="33"/>
        <v>-1429.5089999999996</v>
      </c>
      <c r="M80" s="59">
        <f t="shared" si="35"/>
        <v>-679.5089999999996</v>
      </c>
    </row>
  </sheetData>
  <sheetProtection password="E92E" sheet="1" objects="1" scenarios="1"/>
  <autoFilter ref="C8:K80"/>
  <printOptions/>
  <pageMargins left="0.75" right="0.75" top="1" bottom="1" header="0.5" footer="0.5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Кира</dc:creator>
  <cp:keywords/>
  <dc:description/>
  <cp:lastModifiedBy>Кира</cp:lastModifiedBy>
  <dcterms:created xsi:type="dcterms:W3CDTF">2010-03-28T22:46:32Z</dcterms:created>
  <dcterms:modified xsi:type="dcterms:W3CDTF">2010-03-29T15:56:44Z</dcterms:modified>
  <cp:category/>
  <cp:version/>
  <cp:contentType/>
  <cp:contentStatus/>
</cp:coreProperties>
</file>